
<file path=[Content_Types].xml><?xml version="1.0" encoding="utf-8"?>
<Types xmlns="http://schemas.openxmlformats.org/package/2006/content-types">
  <Default Extension="vml" ContentType="application/vnd.openxmlformats-officedocument.vmlDrawing"/>
  <Default Extension="wmf" ContentType="image/x-wmf"/>
  <Default Extension="png" ContentType="image/png"/>
  <Default Extension="jpg" ContentType="image/jpe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tyles.xml" ContentType="application/vnd.openxmlformats-officedocument.spreadsheetml.styles+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32.xml" ContentType="application/vnd.openxmlformats-officedocument.spreadsheetml.worksheet+xml"/>
  <Override PartName="/xl/worksheets/sheet30.xml" ContentType="application/vnd.openxmlformats-officedocument.spreadsheetml.worksheet+xml"/>
  <Override PartName="/xl/worksheets/sheet6.xml" ContentType="application/vnd.openxmlformats-officedocument.spreadsheetml.worksheet+xml"/>
  <Override PartName="/xl/worksheets/sheet77.xml" ContentType="application/vnd.openxmlformats-officedocument.spreadsheetml.worksheet+xml"/>
  <Override PartName="/xl/worksheets/sheet73.xml" ContentType="application/vnd.openxmlformats-officedocument.spreadsheetml.worksheet+xml"/>
  <Override PartName="/xl/worksheets/sheet7.xml" ContentType="application/vnd.openxmlformats-officedocument.spreadsheetml.worksheet+xml"/>
  <Override PartName="/xl/worksheets/sheet46.xml" ContentType="application/vnd.openxmlformats-officedocument.spreadsheetml.worksheet+xml"/>
  <Override PartName="/xl/worksheets/sheet14.xml" ContentType="application/vnd.openxmlformats-officedocument.spreadsheetml.worksheet+xml"/>
  <Override PartName="/xl/worksheets/sheet9.xml" ContentType="application/vnd.openxmlformats-officedocument.spreadsheetml.worksheet+xml"/>
  <Override PartName="/xl/worksheets/sheet86.xml" ContentType="application/vnd.openxmlformats-officedocument.spreadsheetml.worksheet+xml"/>
  <Override PartName="/xl/worksheets/sheet26.xml" ContentType="application/vnd.openxmlformats-officedocument.spreadsheetml.worksheet+xml"/>
  <Override PartName="/xl/worksheets/sheet20.xml" ContentType="application/vnd.openxmlformats-officedocument.spreadsheetml.worksheet+xml"/>
  <Override PartName="/xl/worksheets/sheet15.xml" ContentType="application/vnd.openxmlformats-officedocument.spreadsheetml.worksheet+xml"/>
  <Override PartName="/xl/worksheets/sheet17.xml" ContentType="application/vnd.openxmlformats-officedocument.spreadsheetml.worksheet+xml"/>
  <Override PartName="/xl/worksheets/sheet11.xml" ContentType="application/vnd.openxmlformats-officedocument.spreadsheetml.worksheet+xml"/>
  <Override PartName="/xl/worksheets/sheet24.xml" ContentType="application/vnd.openxmlformats-officedocument.spreadsheetml.worksheet+xml"/>
  <Override PartName="/xl/worksheets/sheet13.xml" ContentType="application/vnd.openxmlformats-officedocument.spreadsheetml.worksheet+xml"/>
  <Override PartName="/xl/worksheets/sheet5.xml" ContentType="application/vnd.openxmlformats-officedocument.spreadsheetml.worksheet+xml"/>
  <Override PartName="/xl/worksheets/sheet25.xml" ContentType="application/vnd.openxmlformats-officedocument.spreadsheetml.worksheet+xml"/>
  <Override PartName="/xl/worksheets/sheet21.xml" ContentType="application/vnd.openxmlformats-officedocument.spreadsheetml.worksheet+xml"/>
  <Override PartName="/xl/worksheets/sheet76.xml" ContentType="application/vnd.openxmlformats-officedocument.spreadsheetml.worksheet+xml"/>
  <Override PartName="/xl/worksheets/sheet16.xml" ContentType="application/vnd.openxmlformats-officedocument.spreadsheetml.worksheet+xml"/>
  <Override PartName="/xl/worksheets/sheet52.xml" ContentType="application/vnd.openxmlformats-officedocument.spreadsheetml.worksheet+xml"/>
  <Override PartName="/xl/worksheets/sheet28.xml" ContentType="application/vnd.openxmlformats-officedocument.spreadsheetml.worksheet+xml"/>
  <Override PartName="/xl/worksheets/sheet72.xml" ContentType="application/vnd.openxmlformats-officedocument.spreadsheetml.worksheet+xml"/>
  <Override PartName="/xl/worksheets/sheet33.xml" ContentType="application/vnd.openxmlformats-officedocument.spreadsheetml.worksheet+xml"/>
  <Override PartName="/xl/drawings/drawing4.xml" ContentType="application/vnd.openxmlformats-officedocument.drawing+xml"/>
  <Override PartName="/xl/worksheets/sheet35.xml" ContentType="application/vnd.openxmlformats-officedocument.spreadsheetml.worksheet+xml"/>
  <Override PartName="/xl/worksheets/sheet80.xml" ContentType="application/vnd.openxmlformats-officedocument.spreadsheetml.worksheet+xml"/>
  <Override PartName="/xl/drawings/drawing5.xml" ContentType="application/vnd.openxmlformats-officedocument.drawing+xml"/>
  <Override PartName="/xl/worksheets/sheet36.xml" ContentType="application/vnd.openxmlformats-officedocument.spreadsheetml.worksheet+xml"/>
  <Override PartName="/xl/worksheets/sheet23.xml" ContentType="application/vnd.openxmlformats-officedocument.spreadsheetml.worksheet+xml"/>
  <Override PartName="/xl/worksheets/sheet50.xml" ContentType="application/vnd.openxmlformats-officedocument.spreadsheetml.worksheet+xml"/>
  <Override PartName="/xl/worksheets/sheet54.xml" ContentType="application/vnd.openxmlformats-officedocument.spreadsheetml.worksheet+xml"/>
  <Override PartName="/xl/worksheets/sheet38.xml" ContentType="application/vnd.openxmlformats-officedocument.spreadsheetml.worksheet+xml"/>
  <Override PartName="/xl/worksheets/sheet18.xml" ContentType="application/vnd.openxmlformats-officedocument.spreadsheetml.worksheet+xml"/>
  <Override PartName="/xl/worksheets/sheet39.xml" ContentType="application/vnd.openxmlformats-officedocument.spreadsheetml.worksheet+xml"/>
  <Override PartName="/xl/worksheets/sheet10.xml" ContentType="application/vnd.openxmlformats-officedocument.spreadsheetml.worksheet+xml"/>
  <Override PartName="/xl/worksheets/sheet40.xml" ContentType="application/vnd.openxmlformats-officedocument.spreadsheetml.worksheet+xml"/>
  <Override PartName="/xl/worksheets/sheet79.xml" ContentType="application/vnd.openxmlformats-officedocument.spreadsheetml.worksheet+xml"/>
  <Override PartName="/xl/drawings/drawing8.xml" ContentType="application/vnd.openxmlformats-officedocument.drawing+xml"/>
  <Override PartName="/xl/worksheets/sheet62.xml" ContentType="application/vnd.openxmlformats-officedocument.spreadsheetml.worksheet+xml"/>
  <Override PartName="/xl/worksheets/sheet12.xml" ContentType="application/vnd.openxmlformats-officedocument.spreadsheetml.worksheet+xml"/>
  <Override PartName="/xl/worksheets/sheet74.xml" ContentType="application/vnd.openxmlformats-officedocument.spreadsheetml.worksheet+xml"/>
  <Override PartName="/xl/drawings/drawing3.xml" ContentType="application/vnd.openxmlformats-officedocument.drawing+xml"/>
  <Override PartName="/xl/worksheets/sheet64.xml" ContentType="application/vnd.openxmlformats-officedocument.spreadsheetml.worksheet+xml"/>
  <Override PartName="/xl/worksheets/sheet19.xml" ContentType="application/vnd.openxmlformats-officedocument.spreadsheetml.worksheet+xml"/>
  <Override PartName="/xl/drawings/drawing7.xml" ContentType="application/vnd.openxmlformats-officedocument.drawing+xml"/>
  <Override PartName="/xl/worksheets/sheet61.xml" ContentType="application/vnd.openxmlformats-officedocument.spreadsheetml.worksheet+xml"/>
  <Override PartName="/xl/worksheets/sheet51.xml" ContentType="application/vnd.openxmlformats-officedocument.spreadsheetml.worksheet+xml"/>
  <Override PartName="/xl/theme/theme1.xml" ContentType="application/vnd.openxmlformats-officedocument.theme+xml"/>
  <Override PartName="/xl/drawings/drawing6.xml" ContentType="application/vnd.openxmlformats-officedocument.drawing+xml"/>
  <Override PartName="/xl/worksheets/sheet56.xml" ContentType="application/vnd.openxmlformats-officedocument.spreadsheetml.worksheet+xml"/>
  <Override PartName="/xl/worksheets/sheet4.xml" ContentType="application/vnd.openxmlformats-officedocument.spreadsheetml.worksheet+xml"/>
  <Override PartName="/xl/comments3.xml" ContentType="application/vnd.openxmlformats-officedocument.spreadsheetml.comments+xml"/>
  <Override PartName="/xl/worksheets/sheet63.xml" ContentType="application/vnd.openxmlformats-officedocument.spreadsheetml.worksheet+xml"/>
  <Override PartName="/xl/worksheets/sheet48.xml" ContentType="application/vnd.openxmlformats-officedocument.spreadsheetml.worksheet+xml"/>
  <Override PartName="/xl/comments2.xml" ContentType="application/vnd.openxmlformats-officedocument.spreadsheetml.comments+xml"/>
  <Override PartName="/xl/sharedStrings.xml" ContentType="application/vnd.openxmlformats-officedocument.spreadsheetml.sharedStrings+xml"/>
  <Override PartName="/xl/worksheets/sheet65.xml" ContentType="application/vnd.openxmlformats-officedocument.spreadsheetml.worksheet+xml"/>
  <Override PartName="/xl/worksheets/sheet57.xml" ContentType="application/vnd.openxmlformats-officedocument.spreadsheetml.worksheet+xml"/>
  <Override PartName="/xl/worksheets/sheet34.xml" ContentType="application/vnd.openxmlformats-officedocument.spreadsheetml.worksheet+xml"/>
  <Override PartName="/xl/worksheets/sheet78.xml" ContentType="application/vnd.openxmlformats-officedocument.spreadsheetml.worksheet+xml"/>
  <Override PartName="/xl/worksheets/sheet66.xml" ContentType="application/vnd.openxmlformats-officedocument.spreadsheetml.worksheet+xml"/>
  <Override PartName="/xl/worksheets/sheet83.xml" ContentType="application/vnd.openxmlformats-officedocument.spreadsheetml.worksheet+xml"/>
  <Override PartName="/xl/worksheets/sheet37.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47.xml" ContentType="application/vnd.openxmlformats-officedocument.spreadsheetml.worksheet+xml"/>
  <Override PartName="/xl/worksheets/sheet55.xml" ContentType="application/vnd.openxmlformats-officedocument.spreadsheetml.worksheet+xml"/>
  <Override PartName="/xl/worksheets/sheet8.xml" ContentType="application/vnd.openxmlformats-officedocument.spreadsheetml.worksheet+xml"/>
  <Override PartName="/xl/worksheets/sheet41.xml" ContentType="application/vnd.openxmlformats-officedocument.spreadsheetml.worksheet+xml"/>
  <Override PartName="/xl/worksheets/sheet69.xml" ContentType="application/vnd.openxmlformats-officedocument.spreadsheetml.worksheet+xml"/>
  <Override PartName="/xl/worksheets/sheet49.xml" ContentType="application/vnd.openxmlformats-officedocument.spreadsheetml.worksheet+xml"/>
  <Override PartName="/docProps/custom.xml" ContentType="application/vnd.openxmlformats-officedocument.custom-properties+xml"/>
  <Override PartName="/xl/worksheets/sheet29.xml" ContentType="application/vnd.openxmlformats-officedocument.spreadsheetml.worksheet+xml"/>
  <Override PartName="/xl/worksheets/sheet60.xml" ContentType="application/vnd.openxmlformats-officedocument.spreadsheetml.worksheet+xml"/>
  <Override PartName="/xl/worksheets/sheet59.xml" ContentType="application/vnd.openxmlformats-officedocument.spreadsheetml.worksheet+xml"/>
  <Override PartName="/xl/worksheets/sheet81.xml" ContentType="application/vnd.openxmlformats-officedocument.spreadsheetml.worksheet+xml"/>
  <Override PartName="/xl/worksheets/sheet27.xml" ContentType="application/vnd.openxmlformats-officedocument.spreadsheetml.worksheet+xml"/>
  <Override PartName="/xl/worksheets/sheet42.xml" ContentType="application/vnd.openxmlformats-officedocument.spreadsheetml.worksheet+xml"/>
  <Override PartName="/xl/worksheets/sheet85.xml" ContentType="application/vnd.openxmlformats-officedocument.spreadsheetml.worksheet+xml"/>
  <Override PartName="/xl/worksheets/sheet43.xml" ContentType="application/vnd.openxmlformats-officedocument.spreadsheetml.worksheet+xml"/>
  <Override PartName="/xl/worksheets/sheet31.xml" ContentType="application/vnd.openxmlformats-officedocument.spreadsheetml.worksheet+xml"/>
  <Override PartName="/xl/worksheets/sheet53.xml" ContentType="application/vnd.openxmlformats-officedocument.spreadsheetml.worksheet+xml"/>
  <Override PartName="/xl/worksheets/sheet82.xml" ContentType="application/vnd.openxmlformats-officedocument.spreadsheetml.worksheet+xml"/>
  <Override PartName="/xl/worksheets/sheet22.xml" ContentType="application/vnd.openxmlformats-officedocument.spreadsheetml.worksheet+xml"/>
  <Override PartName="/xl/comments1.xml" ContentType="application/vnd.openxmlformats-officedocument.spreadsheetml.comments+xml"/>
  <Override PartName="/xl/worksheets/sheet88.xml" ContentType="application/vnd.openxmlformats-officedocument.spreadsheetml.worksheet+xml"/>
  <Override PartName="/xl/worksheets/sheet45.xml" ContentType="application/vnd.openxmlformats-officedocument.spreadsheetml.worksheet+xml"/>
  <Override PartName="/xl/worksheets/sheet71.xml" ContentType="application/vnd.openxmlformats-officedocument.spreadsheetml.worksheet+xml"/>
  <Override PartName="/xl/worksheets/sheet84.xml" ContentType="application/vnd.openxmlformats-officedocument.spreadsheetml.worksheet+xml"/>
  <Override PartName="/xl/worksheets/sheet70.xml" ContentType="application/vnd.openxmlformats-officedocument.spreadsheetml.worksheet+xml"/>
  <Override PartName="/xl/worksheets/sheet44.xml" ContentType="application/vnd.openxmlformats-officedocument.spreadsheetml.worksheet+xml"/>
  <Override PartName="/xl/worksheets/sheet89.xml" ContentType="application/vnd.openxmlformats-officedocument.spreadsheetml.worksheet+xml"/>
  <Override PartName="/xl/worksheets/sheet87.xml" ContentType="application/vnd.openxmlformats-officedocument.spreadsheetml.worksheet+xml"/>
  <Override PartName="/xl/worksheets/sheet58.xml" ContentType="application/vnd.openxmlformats-officedocument.spreadsheetml.worksheet+xml"/>
  <Override PartName="/xl/worksheets/sheet75.xml" ContentType="application/vnd.openxmlformats-officedocument.spreadsheetml.worksheet+xml"/>
  <Override PartName="/xl/workbook.xml" ContentType="application/vnd.openxmlformats-officedocument.spreadsheetml.sheet.main+xml"/>
</Types>
</file>

<file path=_rels/.rels><?xml version="1.0" encoding="UTF-8" standalone="yes"?><Relationships xmlns="http://schemas.openxmlformats.org/package/2006/relationships"><Relationship  Id="rId4" Type="http://schemas.openxmlformats.org/officeDocument/2006/relationships/officeDocument" Target="xl/workbook.xml"/><Relationship  Id="rId3" Type="http://schemas.openxmlformats.org/officeDocument/2006/relationships/custom-properties" Target="docProps/custom.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1"/>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anscount">1</definedName>
    <definedName name="B_FHD_CHECK_INDEX_1">'Показатели ФХД'!$M$66</definedName>
    <definedName name="B_FHD_CHECK_INDEX_2">'Показатели ФХД'!$M$68</definedName>
    <definedName name="B_FHD_COSTS_INDEX_1">'Показатели ФХД'!$H$65:$K$65</definedName>
    <definedName name="B_FHD_COSTS_INDEX_2">'Показатели ФХД'!$H$67:$K$67</definedName>
    <definedName name="B_FHD_DATA_TOP80_ACTIVITY">'Показатели ФХД'!$H$81:$K$81</definedName>
    <definedName name="B_FHD_diff_1">'Показатели ФХД'!$I$25:$I$27</definedName>
    <definedName name="B_FHD_FLAG_DIFFERENTIATION">'Показатели ФХД'!$H$24:$K$24</definedName>
    <definedName name="B_FHD_FLAG_INDEX_1">'Показатели ФХД'!$H$66:$K$66</definedName>
    <definedName name="B_FHD_FLAG_INDEX_2">'Показатели ФХД'!$H$68:$K$68</definedName>
    <definedName name="B_FHD_TKO_DATA_TOP80_ACTIVITY">'ТКО. Показатели ФХД'!$H$43:$K$43</definedName>
    <definedName name="B_FHD_TKO_diff_1">'ТКО. Показатели ФХД'!$I$10:$I$12</definedName>
    <definedName name="B_FHD_TKO_FLAG_DIFFERENTIATION">'ТКО. Показатели ФХД'!$H$9:$K$9</definedName>
    <definedName name="B_FHD_TKO_TRANS_DATA_TOP80_ACTIVITY">'ТКО. Транс. Показатели ФХД'!$H$35:$K$35</definedName>
    <definedName name="B_FHD_TKO_TRANS_diff_1">'ТКО. Транс. Показатели ФХД'!$I$10:$I$12</definedName>
    <definedName name="B_FHD_TKO_TRANS_FLAG_DIFFERENTIATION">'ТКО. Транс. Показатели ФХД'!$H$9:$K$9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&gt;20%'!$D$13:$S$32</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&gt;20%'!$V$11:$V$32</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ОТЭП'!$L$9:$P$9</definedName>
    <definedName name="B_OTEP_HEAT_DATA_TOP80_ACTIVITY">'Показатели ОТЭП'!$L$15:$P$15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Дифференциация!$I$12:$I$19</definedName>
    <definedName name="DIFFERENTIATION_AREA_ID">Дифференциация!$U$11:$U$20</definedName>
    <definedName name="DIFFERENTIATION_CheckC">Дифференциация!$D$12:$M$19</definedName>
    <definedName name="DIFFERENTIATION_fieldMarker">Дифференциация!$W$12:$W$19</definedName>
    <definedName name="DIFFERENTIATION_ID">TEHSHEET!$E$57</definedName>
    <definedName name="DIFFERENTIATION_ID_DIFF">Дифференциация!$O$12:$O$19</definedName>
    <definedName name="DIFFERENTIATION_SYSTEM">Дифференциация!$M$12:$M$19</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Дифференциация!$Q$12:$Q$19</definedName>
    <definedName name="DIFFERENTIATION_UNMERGE_SYSTEM">Дифференциация!$R$12:$R$19</definedName>
    <definedName name="DIFFERENTIATION_UNMERGE_VD">Дифференциация!$P$12:$P$19</definedName>
    <definedName name="DIFFERENTIATION_VD">Дифференциация!$E$12:$E$19</definedName>
    <definedName name="DIFFERENTIATION_VD_ID">Дифференциация!$V$11:$V$20</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Ограничения!$F$36:$M$36</definedName>
    <definedName name="flag_Q_LIMIT_p4">Ограничения!$F$38:$M$38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Дифференциация!$G$12:$G$19</definedName>
    <definedName name="pDel_DIFFERENTIATION_SYSTEM">Дифференциация!$K$12:$K$19</definedName>
    <definedName name="pDel_DIFFERENTIATION_VD">Дифференциация!$C$12:$C$19</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ФХД'!$K$24</definedName>
    <definedName name="pIns_B_FHD_TKO_2">'ТКО. Показатели ФХД'!$F$34</definedName>
    <definedName name="pIns_B_FHD_TKO_DIFFERENTIATION">'ТКО. Показатели ФХД'!$K$9</definedName>
    <definedName name="pIns_B_FHD_TKO_TRANS_2">'ТКО. Транс. Показатели ФХД'!$F$29</definedName>
    <definedName name="pIns_B_FHD_TKO_TRANS_DIFFERENTIATION">'ТКО. Транс. Показатели ФХД'!$K$9</definedName>
    <definedName name="pIns_B_FHD20_DIFFERENTIATION">'Показатели ФХД &gt;20%'!$D$32</definedName>
    <definedName name="pIns_B_KNE_DIFFERENTIATION">'Показатели КНЭ'!$M$6</definedName>
    <definedName name="pIns_B_OTEP_2">'Показатели ОТЭП'!$J$18</definedName>
    <definedName name="pIns_B_OTEP_DIFFERENTIATION">'Показатели ОТЭП'!$O$9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Ограничения!$M$25</definedName>
    <definedName name="pIns_Q_PH_DIFFERENTIATION">'Потребительские характеристики'!$M$8</definedName>
    <definedName name="pIns_Q_TP_1">ТП!$E$22</definedName>
    <definedName name="pIns_Q_TP_DIFFERENTIATION">ТП!$J$8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Ограничения!$M$26</definedName>
    <definedName name="pNote_Q_PH">'Потребительские характеристики'!$M$9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Ограничения!$E$32:$M$39</definedName>
    <definedName name="Q_LIMIT_diff_1">Ограничения!$I$26:$J$28</definedName>
    <definedName name="Q_LIMIT_p3">Ограничения!$F$36:$M$37</definedName>
    <definedName name="Q_LIMIT_p4">Ограничения!$F$38:$M$39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ФХД'!$K$131</definedName>
    <definedName name="tblEnd_1_B_FHD_TKO">'ТКО. Показатели ФХД'!$K$47</definedName>
    <definedName name="tblEnd_1_B_FHD_TKO_TRANS">'ТКО. Транс. Показатели ФХД'!$K$38</definedName>
    <definedName name="tblEnd_1_B_KNE">'Показатели КНЭ'!$J$101</definedName>
    <definedName name="tblEnd_1_B_OTEP">'Показатели ОТЭП'!$O$34</definedName>
    <definedName name="tblEnd_1_B_STANDARTS">'Стандарты качества'!$L$13</definedName>
    <definedName name="tblEnd_1_CHANGE_INFO">'Сведения об изменении'!$E$14</definedName>
    <definedName name="tblEnd_1_DIFFERENTIATION">Дифференциация!$M$20</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Ограничения!$M$40</definedName>
    <definedName name="tblEnd_1_Q_PH">'Потребительские характеристики'!$M$21</definedName>
    <definedName name="tblEnd_1_Q_TP">ТП!$J$23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Дифференциация!$F$12:$F$19</definedName>
    <definedName name="Y_N_DIFFERENTIATION_SYSTEM">Дифференциация!$J$12:$J$19</definedName>
    <definedName name="YEAR_IP_LIST">TEHSHEET!$BE$2:$BE$72</definedName>
    <definedName name="year_list">TEHSHEET!$C$2:$C$6</definedName>
    <definedName name="year_list1">TEHSHEET!$B$2:$B$27</definedName>
    <definedName name="REESTR_IP_RANGE">REESTR_IP!$A$2:$I$10</definedName>
    <definedName name="VD_LIST">REESTR_VED!$A$2:$B$4</definedName>
    <definedName name="VD_ID_LIST">REESTR_VED!$A$2:$A$4</definedName>
    <definedName name="VD_NAME_LIST">REESTR_VED!$B$2:$B$4</definedName>
    <definedName name="et_B_FHD20_1">et_union_hor!$115:$123</definedName>
    <definedName name="Q_PH_diff_5">'Потребительские характеристики'!$K$9:$L$11</definedName>
    <definedName name="Q_TP_diff_5">ТП!$I$9:$I$11</definedName>
    <definedName name="Q_Limit_diff_5">Ограничения!$K$26:$L$28</definedName>
    <definedName name="B_FHD_diff_5">'Показатели ФХД'!$J$25:$J$27</definedName>
    <definedName name="B_OTEP_diff_5">'Показатели ОТЭП'!$N$10:$N$12</definedName>
    <definedName name="B_FHD20_diff_5">'Показатели ФХД &gt;20%'!$H$23:$R$25</definedName>
    <definedName name="B_KNE_diff_5">'Показатели КНЭ'!$K$7:$L$9</definedName>
    <definedName name="B_FHD_TKO_diff_5">'ТКО. Показатели ФХД'!$J$10:$J$12</definedName>
    <definedName name="B_FHD_TKO_TRANS_diff_5">'ТКО. Транс. Показатели ФХД'!$J$10:$J$12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text>
        <r>
          <rPr>
            <b/>
            <sz val="9"/>
            <rFont val="Tahoma"/>
          </rPr>
          <t>Author:</t>
        </r>
        <r>
          <rPr>
            <sz val="9"/>
            <rFont val="Tahoma"/>
          </rPr>
          <t xml:space="preserve">
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text>
        <r>
          <rPr>
            <b/>
            <sz val="9"/>
            <rFont val="Tahoma"/>
          </rPr>
          <t>Author:</t>
        </r>
        <r>
          <rPr>
            <sz val="9"/>
            <rFont val="Tahoma"/>
          </rPr>
          <t xml:space="preserve">
Тип организации</t>
        </r>
      </text>
    </comment>
    <comment ref="L6" authorId="0">
      <text>
        <r>
          <rPr>
            <b/>
            <sz val="9"/>
            <rFont val="Tahoma"/>
          </rPr>
          <t>Author:</t>
        </r>
        <r>
          <rPr>
            <sz val="9"/>
            <rFont val="Tahoma"/>
          </rPr>
          <t xml:space="preserve">
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text>
        <r>
          <rPr>
            <b/>
            <sz val="9"/>
            <rFont val="Tahoma"/>
          </rPr>
          <t>Author:</t>
        </r>
        <r>
          <rPr>
            <sz val="9"/>
            <rFont val="Tahoma"/>
          </rPr>
          <t xml:space="preserve">
сюда же для некоторых формул может входить:
- VOTV
- HOTVSNA</t>
        </r>
      </text>
    </comment>
    <comment ref="U2" authorId="0">
      <text>
        <r>
          <rPr>
            <b/>
            <sz val="9"/>
            <rFont val="Tahoma"/>
          </rPr>
          <t>Author:</t>
        </r>
        <r>
          <rPr>
            <sz val="9"/>
            <rFont val="Tahoma"/>
          </rPr>
          <t xml:space="preserve">
сюда же для некоторых формул может входить:
- VOTV
- HOTVSNA</t>
        </r>
      </text>
    </comment>
  </commentList>
</comments>
</file>

<file path=xl/sharedStrings.xml><?xml version="1.0" encoding="utf-8"?>
<sst xmlns="http://schemas.openxmlformats.org/spreadsheetml/2006/main" count="4143" uniqueCount="4143">
  <si>
    <t xml:space="preserve"> (требуется обновление)</t>
  </si>
  <si>
    <t xml:space="preserve">Код отчёта: PP108.OPEN.INFO.QUARTER.VOTV.EIAS</t>
  </si>
  <si>
    <t xml:space="preserve">Версия отчёта: 1.1.1</t>
  </si>
  <si>
    <t xml:space="preserve">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</si>
  <si>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</si>
  <si>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</si>
  <si>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</si>
  <si>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</si>
  <si>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</si>
  <si>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 xml:space="preserve">Работа с реестрами</t>
  </si>
  <si>
    <t xml:space="preserve">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</si>
  <si>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 xml:space="preserve">Проверка отчёта</t>
  </si>
  <si>
    <t xml:space="preserve">• При сохранении отчётной формы осуществляется проверка корректности данных
• Для каждого сообщения возможны 2 статуса: ошибка и предупреждение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</si>
  <si>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27588527</t>
  </si>
  <si>
    <t>Flag_Row_Size</t>
  </si>
  <si>
    <t xml:space="preserve">Субъект РФ</t>
  </si>
  <si>
    <t xml:space="preserve">Рязанская область</t>
  </si>
  <si>
    <t xml:space="preserve">Состав раскрываемой информации</t>
  </si>
  <si>
    <t xml:space="preserve">Привлечение к ответственности за указанный период отсутствует</t>
  </si>
  <si>
    <t>нет</t>
  </si>
  <si>
    <t xml:space="preserve">PRICE, REQUEST</t>
  </si>
  <si>
    <t xml:space="preserve">Начало
периода регулирования</t>
  </si>
  <si>
    <t/>
  </si>
  <si>
    <t xml:space="preserve">Как заполнить?</t>
  </si>
  <si>
    <t xml:space="preserve">Начало периода регулирования</t>
  </si>
  <si>
    <t xml:space="preserve">Окончание
периода регулирования</t>
  </si>
  <si>
    <t xml:space="preserve">Окончание периода регулирования</t>
  </si>
  <si>
    <t>ORG</t>
  </si>
  <si>
    <t xml:space="preserve">Дата
предоставления информации</t>
  </si>
  <si>
    <t xml:space="preserve">Дата предоставления информации</t>
  </si>
  <si>
    <t xml:space="preserve">BALANCE, QUARTER, TERMS</t>
  </si>
  <si>
    <t>Год</t>
  </si>
  <si>
    <t xml:space="preserve">Отчётный период (год)</t>
  </si>
  <si>
    <t>QUARTER</t>
  </si>
  <si>
    <t>Квартал</t>
  </si>
  <si>
    <t xml:space="preserve">III квартал</t>
  </si>
  <si>
    <t xml:space="preserve">Отчётный период (квартал)</t>
  </si>
  <si>
    <t xml:space="preserve">Тип отчёта</t>
  </si>
  <si>
    <t xml:space="preserve">первичное раскрытие информации</t>
  </si>
  <si>
    <t xml:space="preserve">Дата внесения изменений в информацию, подлежащую раскрытию</t>
  </si>
  <si>
    <t xml:space="preserve">Отображается, если тип отчёта - изменение</t>
  </si>
  <si>
    <t xml:space="preserve">Данный блок предлагается заполнять из отчётной формы BALANCE.CALC.TARIFF.ххх.хххх</t>
  </si>
  <si>
    <t xml:space="preserve">Наименование органа регулирования, принявшего решение об утверждении тарифов</t>
  </si>
  <si>
    <t xml:space="preserve">Источник официального опубликования решения</t>
  </si>
  <si>
    <t xml:space="preserve">Открывается, если Тип отчёта "изменения в раскрытой ранее информации"</t>
  </si>
  <si>
    <t xml:space="preserve">Наименование органа регулирования, принявшего решение об изменении тарифов</t>
  </si>
  <si>
    <t xml:space="preserve">филиал ПАО "ОГК-2" - Рязанская ГРЭС</t>
  </si>
  <si>
    <t xml:space="preserve">Наименование (описание) обособленного подразделения</t>
  </si>
  <si>
    <t>ИНН</t>
  </si>
  <si>
    <t>2607018122</t>
  </si>
  <si>
    <t>КПП</t>
  </si>
  <si>
    <t>621143001</t>
  </si>
  <si>
    <t xml:space="preserve">Тип теплоснабжающей организации</t>
  </si>
  <si>
    <t xml:space="preserve">Система налогообложения</t>
  </si>
  <si>
    <t>ОСН</t>
  </si>
  <si>
    <t xml:space="preserve">Отсутствует Интернет в границах территории МО, где организация осуществляет регулируемые виды деятельности</t>
  </si>
  <si>
    <t xml:space="preserve">Опубликовать индикативный предельный уровень цен на тепловую энергию (мощность)</t>
  </si>
  <si>
    <t xml:space="preserve">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</si>
  <si>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rPr>
      <t xml:space="preserve">с (!)</t>
    </r>
    <r>
      <rPr>
        <sz val="9"/>
        <rFont val="Tahoma"/>
      </rPr>
      <t xml:space="preserve"> разбивкой по поставщикам</t>
    </r>
  </si>
  <si>
    <r>
      <t xml:space="preserve">Тариф на горячую воду предлагается </t>
    </r>
    <r>
      <rPr>
        <b/>
        <sz val="9"/>
        <rFont val="Tahoma"/>
      </rPr>
      <t xml:space="preserve">без (!)</t>
    </r>
    <r>
      <rPr>
        <sz val="9"/>
        <rFont val="Tahoma"/>
      </rPr>
      <t xml:space="preserve"> разбивки на компоненты</t>
    </r>
  </si>
  <si>
    <t xml:space="preserve">Организация осуществляет поставку товаров (оказание услуг) только по нерегулируемым ценам</t>
  </si>
  <si>
    <t xml:space="preserve">Регулируемая организация осуществляет сдачу годового бухгалтерского баланса в налоговые органы</t>
  </si>
  <si>
    <t xml:space="preserve">Дата направления годового бухгалтерского баланса в налоговые органы</t>
  </si>
  <si>
    <t xml:space="preserve">Превышает ли выручка от регулируемой деятельности 80% совокупной выручки за отчетный год</t>
  </si>
  <si>
    <t xml:space="preserve">Организация выполняет инвестиционную программу</t>
  </si>
  <si>
    <t>да</t>
  </si>
  <si>
    <t xml:space="preserve">Детализация инвестиционных программ осуществляется</t>
  </si>
  <si>
    <t xml:space="preserve">Оператор по обращению с твёрдыми коммунальными отходами, осуществляет деятельность по транспортированию твёрдых коммунальных отходов</t>
  </si>
  <si>
    <t xml:space="preserve">Почтовый адрес регулируемой организации</t>
  </si>
  <si>
    <t xml:space="preserve">391160 Рязанская область, Пронский район, г. Новомичуринск, ул. Промышленная, д. 1</t>
  </si>
  <si>
    <t xml:space="preserve">Фамилия, имя, отчество руководителя</t>
  </si>
  <si>
    <t xml:space="preserve">Кабаев Виталий Михайлович</t>
  </si>
  <si>
    <t xml:space="preserve">Ответственный за заполнение формы</t>
  </si>
  <si>
    <t xml:space="preserve">Фамилия, имя, отчество</t>
  </si>
  <si>
    <t xml:space="preserve">Прусов Олег Николаевич</t>
  </si>
  <si>
    <t>Должность</t>
  </si>
  <si>
    <t xml:space="preserve">Ведущий инженер ПТО</t>
  </si>
  <si>
    <t xml:space="preserve">Контактный телефон</t>
  </si>
  <si>
    <t xml:space="preserve">(49141) 4-50-68</t>
  </si>
  <si>
    <t>E-mail</t>
  </si>
  <si>
    <t>Prusov.Oleg@rgr.ogk2.ru</t>
  </si>
  <si>
    <t>Flag_Col_Size</t>
  </si>
  <si>
    <t>МР</t>
  </si>
  <si>
    <t>МО</t>
  </si>
  <si>
    <t>ОКТМО</t>
  </si>
  <si>
    <t xml:space="preserve">Муниципальный район</t>
  </si>
  <si>
    <t xml:space="preserve">Муниципальное образование</t>
  </si>
  <si>
    <t xml:space="preserve">№ п/п</t>
  </si>
  <si>
    <t>Наименование</t>
  </si>
  <si>
    <t>3</t>
  </si>
  <si>
    <t>4</t>
  </si>
  <si>
    <t>6</t>
  </si>
  <si>
    <t>7</t>
  </si>
  <si>
    <t xml:space="preserve">размерженный МР</t>
  </si>
  <si>
    <t xml:space="preserve">флаг используемости территории на листе Перечень тарифов</t>
  </si>
  <si>
    <t xml:space="preserve">копия территорий</t>
  </si>
  <si>
    <t xml:space="preserve">МР (ОКТМО)</t>
  </si>
  <si>
    <t>ter_1</t>
  </si>
  <si>
    <t>130</t>
  </si>
  <si>
    <t xml:space="preserve">Пронский муниципальный район</t>
  </si>
  <si>
    <t>Новомичуринское</t>
  </si>
  <si>
    <t>61625114</t>
  </si>
  <si>
    <t xml:space="preserve">Добавить МО</t>
  </si>
  <si>
    <t xml:space="preserve">Добавить территорию оказания услуг</t>
  </si>
  <si>
    <t xml:space="preserve">Добавить территорию действия тарифа</t>
  </si>
  <si>
    <t xml:space="preserve">Вид деятельности</t>
  </si>
  <si>
    <t xml:space="preserve">Дифференциация по территориям</t>
  </si>
  <si>
    <t xml:space="preserve">Дифференциация по централизованным системам</t>
  </si>
  <si>
    <t>да/нет</t>
  </si>
  <si>
    <t>1</t>
  </si>
  <si>
    <t>2</t>
  </si>
  <si>
    <t>5</t>
  </si>
  <si>
    <t>8</t>
  </si>
  <si>
    <t>ID_DIFF</t>
  </si>
  <si>
    <t>VD</t>
  </si>
  <si>
    <t>AREA</t>
  </si>
  <si>
    <t>SYSTEM</t>
  </si>
  <si>
    <t>diff_1</t>
  </si>
  <si>
    <t>4189714</t>
  </si>
  <si>
    <t>a</t>
  </si>
  <si>
    <t xml:space="preserve">Добавить централизованную систему</t>
  </si>
  <si>
    <t xml:space="preserve">Добавить описание территории</t>
  </si>
  <si>
    <t>×</t>
  </si>
  <si>
    <t>diff_5</t>
  </si>
  <si>
    <t>4189713</t>
  </si>
  <si>
    <t xml:space="preserve">Добавить вид деятельности</t>
  </si>
  <si>
    <t xml:space="preserve">Вид тарифа</t>
  </si>
  <si>
    <t xml:space="preserve">Наименование тарифа</t>
  </si>
  <si>
    <t xml:space="preserve">Дифференциация по
 МО (территориям)</t>
  </si>
  <si>
    <t xml:space="preserve">Дифференциация по 
централизованным системам</t>
  </si>
  <si>
    <t xml:space="preserve">Дифференциация по источникам тепловой энергии</t>
  </si>
  <si>
    <t>Примечание</t>
  </si>
  <si>
    <t xml:space="preserve">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</si>
  <si>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</si>
  <si>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</si>
  <si>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</si>
  <si>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</si>
  <si>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</si>
  <si>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</si>
  <si>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</si>
  <si>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</si>
  <si>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</si>
  <si>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</si>
  <si>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</si>
  <si>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</si>
  <si>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</si>
  <si>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</si>
  <si>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</si>
  <si>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xml:space="preserve">№ п.п НаименованиеТарифа</t>
  </si>
  <si>
    <t xml:space="preserve">№ п.п Территория</t>
  </si>
  <si>
    <t xml:space="preserve">№ п.п ЦентрализованнаяСистема</t>
  </si>
  <si>
    <t xml:space="preserve">№ п.п ИсточникТепловойЭнергии</t>
  </si>
  <si>
    <t>9</t>
  </si>
  <si>
    <t>10</t>
  </si>
  <si>
    <t>11</t>
  </si>
  <si>
    <t>12</t>
  </si>
  <si>
    <t>13</t>
  </si>
  <si>
    <t>14</t>
  </si>
  <si>
    <t xml:space="preserve">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</si>
  <si>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</si>
  <si>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</si>
  <si>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</si>
  <si>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</si>
  <si>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</si>
  <si>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</si>
  <si>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</si>
  <si>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</si>
  <si>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</si>
  <si>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</si>
  <si>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 xml:space="preserve">Тарифы на тепловую энергию (мощность), поставляемую теплоснабжающими организациями потребителям, другим теплоснабжающим организациям</t>
  </si>
  <si>
    <t xml:space="preserve">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</si>
  <si>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</si>
  <si>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</si>
  <si>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</si>
  <si>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</si>
  <si>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</si>
  <si>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 xml:space="preserve">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</si>
  <si>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</si>
  <si>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</si>
  <si>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</si>
  <si>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</si>
  <si>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</si>
  <si>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 xml:space="preserve">Тарифы на услуги по передаче тепловой энергии</t>
  </si>
  <si>
    <t>pIns_PT_VTAR_E1</t>
  </si>
  <si>
    <t>pt_ntar_5</t>
  </si>
  <si>
    <t>pt_ter_5</t>
  </si>
  <si>
    <t>pt_cs_5</t>
  </si>
  <si>
    <t>pt_ist_te_5</t>
  </si>
  <si>
    <t xml:space="preserve">Тарифы на услуги по передаче теплоносителя</t>
  </si>
  <si>
    <t>pIns_PT_VTAR_E2</t>
  </si>
  <si>
    <t>pt_ntar_6</t>
  </si>
  <si>
    <t>pt_ter_6</t>
  </si>
  <si>
    <t>pt_cs_6</t>
  </si>
  <si>
    <t>pt_ist_te_6</t>
  </si>
  <si>
    <t xml:space="preserve">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</si>
  <si>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</si>
  <si>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</si>
  <si>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</si>
  <si>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</si>
  <si>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</si>
  <si>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 xml:space="preserve">Плата за подключение (технологическое присоединение) к системе теплоснабжения</t>
  </si>
  <si>
    <t>pIns_PT_VTAR_G</t>
  </si>
  <si>
    <t>pt_ntar_8</t>
  </si>
  <si>
    <t>pt_ter_8</t>
  </si>
  <si>
    <t>pt_cs_8</t>
  </si>
  <si>
    <t>pt_ist_te_8</t>
  </si>
  <si>
    <t xml:space="preserve">Плата за подключение (технологическое присоединение) к системе теплоснабжения (индивидуальная)</t>
  </si>
  <si>
    <t>pIns_PT_VTAR_H</t>
  </si>
  <si>
    <t>pt_ntar_20</t>
  </si>
  <si>
    <t>pt_ter_20</t>
  </si>
  <si>
    <t>pt_cs_20</t>
  </si>
  <si>
    <t>pt_ist_te_20</t>
  </si>
  <si>
    <t xml:space="preserve">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</si>
  <si>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</si>
  <si>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</si>
  <si>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</si>
  <si>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</si>
  <si>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</si>
  <si>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 xml:space="preserve">Информация о регулируемых ценах (тарифах) на товары (услуги) единой теплоснабжающей организации в ценовых зонах теплоснабжения включает сведения:</t>
  </si>
  <si>
    <t xml:space="preserve">-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</si>
  <si>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xml:space="preserve">-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</si>
  <si>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xml:space="preserve">-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</si>
  <si>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xml:space="preserve">-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</si>
  <si>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 xml:space="preserve">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</si>
  <si>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xml:space="preserve">-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</si>
  <si>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xml:space="preserve">- о тарифах на товары (услуги) в сфере теплоснабжения в случаях, указанных в частях 12.1 - 12.4 статьи 10 ФЗ "О теплоснабжении"</t>
  </si>
  <si>
    <t xml:space="preserve">Тариф на питьевую воду (питьевое водоснабжение)</t>
  </si>
  <si>
    <t>pIns_PT_VTAR_A_COLDVSNA</t>
  </si>
  <si>
    <t>pt_ntar_9</t>
  </si>
  <si>
    <t>pt_ter_9</t>
  </si>
  <si>
    <t>pt_cs_9</t>
  </si>
  <si>
    <t xml:space="preserve">Тариф на техническую воду</t>
  </si>
  <si>
    <t>pIns_PT_VTAR_B_COLDVSNA</t>
  </si>
  <si>
    <t>pt_ntar_10</t>
  </si>
  <si>
    <t>pt_ter_10</t>
  </si>
  <si>
    <t>pt_cs_10</t>
  </si>
  <si>
    <t xml:space="preserve">Тариф на транспортировку воды</t>
  </si>
  <si>
    <t>pIns_PT_VTAR_C_COLDVSNA</t>
  </si>
  <si>
    <t>pt_ntar_11</t>
  </si>
  <si>
    <t>pt_ter_11</t>
  </si>
  <si>
    <t>pt_cs_11</t>
  </si>
  <si>
    <t xml:space="preserve">Тариф на подвоз воды</t>
  </si>
  <si>
    <t>pIns_PT_VTAR_D_COLDVSNA</t>
  </si>
  <si>
    <t>pt_ntar_12</t>
  </si>
  <si>
    <t>pt_ter_12</t>
  </si>
  <si>
    <t>pt_cs_12</t>
  </si>
  <si>
    <t xml:space="preserve">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</si>
  <si>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</si>
  <si>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</si>
  <si>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</si>
  <si>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</si>
  <si>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 xml:space="preserve">Тариф на горячую воду (горячее водоснабжение)</t>
  </si>
  <si>
    <t>pIns_PT_VTAR_A_HOTVSNA</t>
  </si>
  <si>
    <t>pt_ntar_14</t>
  </si>
  <si>
    <t>pt_ter_14</t>
  </si>
  <si>
    <t>pt_cs_14</t>
  </si>
  <si>
    <t xml:space="preserve">Тариф на транспортировку горячей воды</t>
  </si>
  <si>
    <t>pIns_PT_VTAR_B_HOTVSNA</t>
  </si>
  <si>
    <t>pt_ntar_15</t>
  </si>
  <si>
    <t>pt_ter_15</t>
  </si>
  <si>
    <t>pt_cs_15</t>
  </si>
  <si>
    <t xml:space="preserve">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</si>
  <si>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</si>
  <si>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</si>
  <si>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</si>
  <si>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</si>
  <si>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 xml:space="preserve">Тариф на водоотведение</t>
  </si>
  <si>
    <t>pIns_PT_VTAR_A_VOTV</t>
  </si>
  <si>
    <t>pt_ntar_17</t>
  </si>
  <si>
    <t>pt_ter_17</t>
  </si>
  <si>
    <t>pt_cs_17</t>
  </si>
  <si>
    <t xml:space="preserve">Тариф на транспортировку сточных вод</t>
  </si>
  <si>
    <t>pIns_PT_VTAR_B_VOTV</t>
  </si>
  <si>
    <t>pt_ntar_18</t>
  </si>
  <si>
    <t>pt_ter_18</t>
  </si>
  <si>
    <t>pt_cs_18</t>
  </si>
  <si>
    <t xml:space="preserve">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</si>
  <si>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</si>
  <si>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</si>
  <si>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</si>
  <si>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</si>
  <si>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</si>
  <si>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</si>
  <si>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</si>
  <si>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 xml:space="preserve">Дифференциация тарифов в области обращения с твердыми коммунальными отходами</t>
  </si>
  <si>
    <t xml:space="preserve">Дифференциация по технологическим особенностям</t>
  </si>
  <si>
    <t xml:space="preserve">Дифференциация по территории оказания услуг</t>
  </si>
  <si>
    <t xml:space="preserve">Дифференциация по виду твердых коммунальных отходов</t>
  </si>
  <si>
    <t xml:space="preserve">Дифференциация по классу опасности твердых коммунальных отходов</t>
  </si>
  <si>
    <t>Комментарий</t>
  </si>
  <si>
    <t xml:space="preserve">Дифференциация, да/нет</t>
  </si>
  <si>
    <t>Значение</t>
  </si>
  <si>
    <t>Тарифы</t>
  </si>
  <si>
    <t xml:space="preserve">Прочие показатели</t>
  </si>
  <si>
    <t>AREA_ID</t>
  </si>
  <si>
    <t xml:space="preserve">Оказание услуги по обращению с твердыми коммунальными отходами региональным оператором</t>
  </si>
  <si>
    <t xml:space="preserve">Единый тариф на услугу регионального оператора по обращению с твердыми коммунальными отходами</t>
  </si>
  <si>
    <t xml:space="preserve">Тариф на обработку твердых коммунальных отходов</t>
  </si>
  <si>
    <t xml:space="preserve">Тариф на обезвреживание твердых коммунальных отходов</t>
  </si>
  <si>
    <t xml:space="preserve">Тариф на захоронение твердых коммунальных отходов</t>
  </si>
  <si>
    <t xml:space="preserve">Тариф на энергетическую утилизацию</t>
  </si>
  <si>
    <t xml:space="preserve">Фирменное наименование юридического лица (согласно уставу регулируемой организации)</t>
  </si>
  <si>
    <t xml:space="preserve">Параметры формы</t>
  </si>
  <si>
    <t xml:space="preserve">Описание параметров формы</t>
  </si>
  <si>
    <t xml:space="preserve">Наименование параметра</t>
  </si>
  <si>
    <t>Информация</t>
  </si>
  <si>
    <t xml:space="preserve">Субъект Российской Федерации</t>
  </si>
  <si>
    <t xml:space="preserve">Указывается наименование субъекта Российской Федерации</t>
  </si>
  <si>
    <t>x</t>
  </si>
  <si>
    <t>2.2</t>
  </si>
  <si>
    <t xml:space="preserve">идентификационный номер налогоплательщика (ИНН)</t>
  </si>
  <si>
    <t xml:space="preserve">Указывается идентификационный номер налогоплательщика.</t>
  </si>
  <si>
    <t>2.3</t>
  </si>
  <si>
    <t xml:space="preserve">код причины постановки на учет (КПП)</t>
  </si>
  <si>
    <t xml:space="preserve">Указывается код причины постановки на учет (при наличии).</t>
  </si>
  <si>
    <t>5.1</t>
  </si>
  <si>
    <t xml:space="preserve">Сведения о присвоении статуса единой теплоснабжающей организации:</t>
  </si>
  <si>
    <t xml:space="preserve">Информация в строках 5.x.1 - 5.x.4 указывается только едиными теплоснабжающими организациями.</t>
  </si>
  <si>
    <t xml:space="preserve">наименование органа, принявшего решение о присвоении статуса единой теплоснабжающей организации</t>
  </si>
  <si>
    <t xml:space="preserve">дата решения</t>
  </si>
  <si>
    <t xml:space="preserve">Дата принятия решения о присвоении статуса единой теплоснабжающей организации указывается в виде «ДД.ММ.ГГГГ».</t>
  </si>
  <si>
    <t xml:space="preserve">номер решения</t>
  </si>
  <si>
    <t xml:space="preserve">границы зоны (зон) деятельности</t>
  </si>
  <si>
    <t xml:space="preserve">Указывается описание зоны (зон) деятельности единой теплоснабжающей организации.</t>
  </si>
  <si>
    <t xml:space="preserve">Добавить сведения</t>
  </si>
  <si>
    <t xml:space="preserve">Данные должностного лица, ответственного за размещение данных</t>
  </si>
  <si>
    <t>3.1</t>
  </si>
  <si>
    <t xml:space="preserve">фамилия, имя и отчество должностного лица</t>
  </si>
  <si>
    <t>3.1.1</t>
  </si>
  <si>
    <t xml:space="preserve">фамилия должностного лица</t>
  </si>
  <si>
    <t>3.1.2</t>
  </si>
  <si>
    <t xml:space="preserve">имя должностного лица</t>
  </si>
  <si>
    <t>3.1.3</t>
  </si>
  <si>
    <t xml:space="preserve">отчество должностного лица</t>
  </si>
  <si>
    <t>3.2</t>
  </si>
  <si>
    <t>должность</t>
  </si>
  <si>
    <t>3.3</t>
  </si>
  <si>
    <t xml:space="preserve">контактный телефон</t>
  </si>
  <si>
    <t>3.4</t>
  </si>
  <si>
    <t xml:space="preserve">адрес электронной почты</t>
  </si>
  <si>
    <t xml:space="preserve">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ФГИС ЕИАС.</t>
  </si>
  <si>
    <t xml:space="preserve">Добавить контактный телефон</t>
  </si>
  <si>
    <t xml:space="preserve">Указывается при наличии</t>
  </si>
  <si>
    <t xml:space="preserve">Режим работы</t>
  </si>
  <si>
    <t xml:space="preserve">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</si>
  <si>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 xml:space="preserve">режим работы абонентских отделов</t>
  </si>
  <si>
    <t xml:space="preserve">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</si>
  <si>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 xml:space="preserve">режим работы сбытовых подразделений</t>
  </si>
  <si>
    <t xml:space="preserve">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</si>
  <si>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 xml:space="preserve">режим работы диспетчерских служб</t>
  </si>
  <si>
    <t xml:space="preserve">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</si>
  <si>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 xml:space="preserve">Добавить режим работы</t>
  </si>
  <si>
    <t xml:space="preserve">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</si>
  <si>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 xml:space="preserve">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</si>
  <si>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</si>
  <si>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</si>
  <si>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</si>
  <si>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</si>
  <si>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</si>
  <si>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 xml:space="preserve">Протяженность магистральных сетей (в однотрубном исчислении), км.</t>
  </si>
  <si>
    <t xml:space="preserve">Протяженность разводящих сетей (в однотрубном исчислении), км.</t>
  </si>
  <si>
    <t>Теплоэлектростанции</t>
  </si>
  <si>
    <t xml:space="preserve">Тепловые станции</t>
  </si>
  <si>
    <t>Котельные</t>
  </si>
  <si>
    <t xml:space="preserve">Количество центральных тепловых пунктов, шт.</t>
  </si>
  <si>
    <t xml:space="preserve">Протяженность канализационных сетей (в однотрубном исчислении), км.</t>
  </si>
  <si>
    <t xml:space="preserve">Количество насосных станций, шт.</t>
  </si>
  <si>
    <t xml:space="preserve">Количество очистных сооружений, шт.</t>
  </si>
  <si>
    <t xml:space="preserve">Протяженность водопроводных сетей (в однотрубном исчислении), км</t>
  </si>
  <si>
    <t xml:space="preserve">Количество скважин, шт.</t>
  </si>
  <si>
    <t xml:space="preserve">Количество подкачивающих насосных станций, шт.</t>
  </si>
  <si>
    <t xml:space="preserve">Протяженность сетей горячего водоснабжения (в однотрубном исчислении), км</t>
  </si>
  <si>
    <t xml:space="preserve">Количество теплоэлектростанций, шт.</t>
  </si>
  <si>
    <t xml:space="preserve">Установленная электрическая мощность</t>
  </si>
  <si>
    <t xml:space="preserve">Единицы изменения</t>
  </si>
  <si>
    <t xml:space="preserve">Установленная тепловая мощность, Гкал/ч</t>
  </si>
  <si>
    <t xml:space="preserve">Количество тепловых станций, шт.</t>
  </si>
  <si>
    <t xml:space="preserve">Количество котельных, шт.</t>
  </si>
  <si>
    <t>0</t>
  </si>
  <si>
    <t xml:space="preserve">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
В колонке "Единицы измерения" в блоке "Теплоэлектростанции" выбирается одно из значений: кВт*ч или МВт.
В случае оказания услуг в нескольких системах теплоснабжения информация по каждой из них указывается в отдельной строке.</t>
  </si>
  <si>
    <t xml:space="preserve">Значения протяженности сетей, количества насосных станций, количества очистных сооружений указываются в виде целых и  неотрицательных чисел.
В случае отсутствия канализационных сетей, насосных станций, очистных сооружений в соответствующей колонке указывается значение 0.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</si>
  <si>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 xml:space="preserve">Значения протяженности сетей, количества скважин, количества подкачивающих насосных станций указываются в виде целых и неотрицательных чисел.
В случае отсутствия водопроводных сетей, скважин, подкачивающих станций в соответствующей колонке указывается значение 0.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</si>
  <si>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 xml:space="preserve">Значения протяженности сетей, количества центральных тепловых пунктов указываются в виде целых и неотрицательных чисел.
В случае отсутствия водопроводных сетей, центральных тепловых пунктов в соответствующей колонке указывается значение 0.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</si>
  <si>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</si>
  <si>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 xml:space="preserve">64235586; 64235587</t>
  </si>
  <si>
    <t xml:space="preserve">Добавить вид объекта</t>
  </si>
  <si>
    <t xml:space="preserve">Форма 2. Вид деятельности и виды объектов, используемых для оказания услуг в области обращения с твердыми коммунальными отходами, и их количество</t>
  </si>
  <si>
    <t xml:space="preserve">Вид объекта, используемых для оказания услуг в области обращения с твердыми коммунальными отходами</t>
  </si>
  <si>
    <t xml:space="preserve">Количество объектов, используемых для оказания услуг в области обращения с твердыми коммунальными отходами, шт.</t>
  </si>
  <si>
    <t xml:space="preserve">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
В случае оказания услуг по нескольким видам деятельности информация по каждому из них указывается отдельно.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</si>
  <si>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 xml:space="preserve">Информация об отсутствии сети "Интернет" &lt;1&gt;</t>
  </si>
  <si>
    <t xml:space="preserve">Отсутствует доступ к сети "Интернет"</t>
  </si>
  <si>
    <t xml:space="preserve">Ссылка на документ</t>
  </si>
  <si>
    <t xml:space="preserve">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</si>
  <si>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 xml:space="preserve">Омский муниципальный район</t>
  </si>
  <si>
    <t xml:space="preserve">Ачаирское сельское поселение</t>
  </si>
  <si>
    <t>52644404</t>
  </si>
  <si>
    <t xml:space="preserve">Ачаирское сельское поселение (52644404)</t>
  </si>
  <si>
    <t xml:space="preserve">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t>
  </si>
  <si>
    <t xml:space="preserve">Территория действия тарифа</t>
  </si>
  <si>
    <t xml:space="preserve">Указывается наименование территории действия тарифа при наличии дифференциации тарифа по территориальному признаку.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</si>
  <si>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</si>
  <si>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 xml:space="preserve">Указывается наименование системы теплоснабжения при наличии дифференциации тарифа по системам теплоснабжения.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</si>
  <si>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</si>
  <si>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 xml:space="preserve">Указывается наименование источника тепловой энергии
В случае дифференциации тарифов по источникам тепловой энергии информация по ним указывается в отдельных строках.</t>
  </si>
  <si>
    <t>SCHEME</t>
  </si>
  <si>
    <t xml:space="preserve">Схема подключения теплопотребляющей установки к коллектору источника тепловой энергии</t>
  </si>
  <si>
    <t xml:space="preserve">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
Значение выбирается из перечня:
   - без дифференциации
   - к коллектору источника тепловой энергии
   - к тепловой сети без дополнительного преобразования на тепловых пунктах, эксплуатируемых теплоснабжающей организацией
   - к тепловой сети после тепловых пунктов (на тепловых пунктах), эксплуатируемых теплоснабжающей организацией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</si>
  <si>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</si>
  <si>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 xml:space="preserve">Группа потребителей</t>
  </si>
  <si>
    <t xml:space="preserve">Указывается группа потребителей при наличии дифференциации тарифа по группам потребителей.
Значение выбирается из перечня:
   - организации-перепродавцы;
   - бюджетные организации;
   - население;
   - прочие;
   - без дифференциации.
В случае дифференциации тарифов группам потребителей информация по ним указывается в отдельных строках.</t>
  </si>
  <si>
    <t>TN</t>
  </si>
  <si>
    <t xml:space="preserve">В колонке «Параметр дифференциации тарифов» указывается вид теплоносителя.
Значение выбирается из перечня:
   - вода;
   - пар;
   - отборный пар, 1.2 – 2.5 кг/см2;
   - отборный пар, 2.5 – 7 кг/см2;
   - отборный пар, 7 – 13 кг/см2;
   - отборный пар, &gt; 13 кг/см2;
   - острый и редуцированный пар;
   - горячая вода в системе централизованного теплоснабжения на отопление;
   - горячая вода в системе централизованного теплоснабжения на горячее водоснабжение;
   - прочее.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
В случае дифференциации тарифов по периодам действия тарифа информация по ним указывается в отдельных колонках.
В случае дифференциации тарифов по видам теплоносителя информация по ним указывается в отдельных строках.</t>
  </si>
  <si>
    <t xml:space="preserve">Добавить вид теплоносителя (параметры теплоносителя)</t>
  </si>
  <si>
    <t xml:space="preserve">Добавить группу потребителей</t>
  </si>
  <si>
    <t xml:space="preserve">Добавить схему подключения</t>
  </si>
  <si>
    <t xml:space="preserve">Добавить источник для дифференциации</t>
  </si>
  <si>
    <t xml:space="preserve">Добавить централизованную систему для дифференциации</t>
  </si>
  <si>
    <t xml:space="preserve">Добавить территорию для дифференциации</t>
  </si>
  <si>
    <t>PERIOD_FROM_FIRST_ROW</t>
  </si>
  <si>
    <t>FLAG_BLOCK_COLUMN</t>
  </si>
  <si>
    <t>SPR</t>
  </si>
  <si>
    <t>FLAG_START_DATE</t>
  </si>
  <si>
    <t>FLAG_ETC_PERIOD</t>
  </si>
  <si>
    <t>FLAG_END_DATE</t>
  </si>
  <si>
    <t xml:space="preserve">Дата документа об утверждении тарифов</t>
  </si>
  <si>
    <t xml:space="preserve">Номер документа об утверждении тарифов</t>
  </si>
  <si>
    <t xml:space="preserve">Дата подачи заявления об утверждении тарифов</t>
  </si>
  <si>
    <t xml:space="preserve">Номер подачи заявления об утверждении тарифов</t>
  </si>
  <si>
    <t>dp</t>
  </si>
  <si>
    <t xml:space="preserve">Параметр дифференциации тарифа</t>
  </si>
  <si>
    <t xml:space="preserve">Величина и срок действия тарифа</t>
  </si>
  <si>
    <t xml:space="preserve">Наличие других периодов действия тарифа</t>
  </si>
  <si>
    <t xml:space="preserve">Наличие других сроков действия тарифа</t>
  </si>
  <si>
    <t xml:space="preserve">Добавить срок действия</t>
  </si>
  <si>
    <t xml:space="preserve">Одноставочный тариф,
руб./Гкал</t>
  </si>
  <si>
    <t xml:space="preserve">Ставка за содержание тепловой мощности,
тыс. руб./Гкал/ч/мес.</t>
  </si>
  <si>
    <t xml:space="preserve">Двухставочный тариф</t>
  </si>
  <si>
    <t xml:space="preserve">Срок действия</t>
  </si>
  <si>
    <t>NUM_NTAR</t>
  </si>
  <si>
    <t>NUM_TER</t>
  </si>
  <si>
    <t>NUM_CS</t>
  </si>
  <si>
    <t>NUM_IST_TE</t>
  </si>
  <si>
    <t>NUM_SCHEME</t>
  </si>
  <si>
    <t>NUM_GC</t>
  </si>
  <si>
    <t>NUM_TN</t>
  </si>
  <si>
    <t xml:space="preserve">ставка за тепловую энергию,
руб./Гкал</t>
  </si>
  <si>
    <t xml:space="preserve">ставка за содержание тепловой мощности,
тыс. руб./Гкал/ч/мес</t>
  </si>
  <si>
    <t xml:space="preserve">дата начала</t>
  </si>
  <si>
    <t xml:space="preserve">дата окончания</t>
  </si>
  <si>
    <t xml:space="preserve">Добавить наименование тарифа</t>
  </si>
  <si>
    <t xml:space="preserve">Период действия</t>
  </si>
  <si>
    <t xml:space="preserve">Одноставочный тариф,
руб./куб.м</t>
  </si>
  <si>
    <t xml:space="preserve">В колонке «Параметр дифференциации тарифов» указывается вид теплоносителя.
Значение выбирается из перечня:
   - вода;
   - пар;
   - отборный пар, 1.2 – 2.5 кг/см2;
   - отборный пар, 2.5 – 7 кг/см2;
   - отборный пар, 7 – 13 кг/см2;
   - отборный пар, &gt; 13 кг/см2;
   - острый и редуцированный пар;
   - горячая вода в системе централизованного теплоснабжения на отопление;
   - горячая вода в системе централизованного теплоснабжения на горячее водоснабжение;
   - прочее.
При утверждении двухставочного тарифа тариф колонка "Одноставочный тариф" не заполняется.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</si>
  <si>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 xml:space="preserve">Указывается вид теплоносителя. 
Значение выбирается из перечня:
   - вода;
   - пар;
   - отборный пар, 1.2 – 2.5 кг/см2;
   - отборный пар, 2.5 – 7 кг/см2;
   - отборный пар, 7 – 13 кг/см2;
   - отборный пар, &gt; 13 кг/см2;
   - острый и редуцированный пар;
   - горячая вода в системе централизованного теплоснабжения на отопление;
   - горячая вода в системе централизованного теплоснабжения на горячее водоснабжение;
   - прочее.
В случае дифференциации тарифов по видам теплоносителя информация по ним указывается в отдельных строках.</t>
  </si>
  <si>
    <t xml:space="preserve">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
В случае дифференциации тарифов по поставщикам информация по ним указывается в отдельных строках.</t>
  </si>
  <si>
    <t xml:space="preserve">Добавить наименование поставщика</t>
  </si>
  <si>
    <t xml:space="preserve">Одноставочный тариф на горячую воду,
руб./куб. м</t>
  </si>
  <si>
    <t xml:space="preserve">Двухкомпонентный тариф на горячую воду</t>
  </si>
  <si>
    <t xml:space="preserve">Компонент на теплоноситель,
руб./куб. м</t>
  </si>
  <si>
    <t xml:space="preserve">Компонента на тепловую энергию</t>
  </si>
  <si>
    <t xml:space="preserve">Одноставочный компонент тарифа на тепловую энергию,
руб/Гкал</t>
  </si>
  <si>
    <t xml:space="preserve">Двухставочный компонент тарифа на тепловую энергию</t>
  </si>
  <si>
    <t>NUM_CONS</t>
  </si>
  <si>
    <t xml:space="preserve">ставка за потребление горячей воды,
руб./куб. м</t>
  </si>
  <si>
    <t xml:space="preserve">ставка за содержание тепловой мощности в компоненте на тепловую энергию,
тыс. руб./Гкал/ч в мес.</t>
  </si>
  <si>
    <t xml:space="preserve">В колонке "Параметр дифференциации тарифа/Заявитель" указывается наименование категории потребителей, к которой относится тариф.
Даты начала и окончания указываются в виде "ДД.ММ.ГГГГ".
В случае отсутствия даты окончания тарифа в колонке "Дата окончания" указывается "Нет".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
В случае дифференциации тарифов по периодам действия тарифа информация по ним указывается в отдельных колонках.</t>
  </si>
  <si>
    <t xml:space="preserve">Добавить диапазон диаметров тепловых сетей</t>
  </si>
  <si>
    <t xml:space="preserve">Добавить тип прокладки тепловых сетей</t>
  </si>
  <si>
    <t xml:space="preserve">Добавить подключаемую тепловую нагрузку</t>
  </si>
  <si>
    <t xml:space="preserve">Добавить строку</t>
  </si>
  <si>
    <t>FLAG</t>
  </si>
  <si>
    <t>LOAD</t>
  </si>
  <si>
    <t>NETS</t>
  </si>
  <si>
    <t>DIAMETERS</t>
  </si>
  <si>
    <t xml:space="preserve">Параметр дифференциации тарифа/ заявитель/ наименование объекта/адрес</t>
  </si>
  <si>
    <t xml:space="preserve">Подключаемая тепловая нагрузка,
Гкал/ч</t>
  </si>
  <si>
    <t xml:space="preserve">Тип прокладки тепловых сетей</t>
  </si>
  <si>
    <t xml:space="preserve">Диаметр тепловых сетей,
мм</t>
  </si>
  <si>
    <t xml:space="preserve">Плата за подключение (технологическое присоединение)</t>
  </si>
  <si>
    <t xml:space="preserve">с НДС</t>
  </si>
  <si>
    <t xml:space="preserve">без НДС</t>
  </si>
  <si>
    <t xml:space="preserve">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
Даты начала и окончания указываются в виде "ДД.ММ.ГГГГ".
В случае отсутствия даты окончания тарифа в колонке "Дата окончания" указывается "Нет".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
В случае дифференциации тарифов по периодам действия тарифа информация по ним указывается в отдельных колонках.</t>
  </si>
  <si>
    <t xml:space="preserve">Наименование централизованной системы холодного водоснабжения</t>
  </si>
  <si>
    <t xml:space="preserve">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
В случае дифференциации тарифов по централизованным системам холодного водоснабжения информация по ним указывается в отдельных строках.</t>
  </si>
  <si>
    <t xml:space="preserve">Наименование признака дифференциации</t>
  </si>
  <si>
    <t xml:space="preserve">Указывается наименование дополнительного признака дифференциации (при наличии).
Дифференциация тарифа осуществляется в соответствии с законодательством в сфере водоснабжения и водоотведения.
В случае дифференциации тарифов по дополнительным признакам информация по ним указывается в отдельных строках.</t>
  </si>
  <si>
    <t xml:space="preserve">Указывается группа потребителей при наличии дифференциации тарифа по группам потребителей.
Значение выбирается из перечня:
  - Организации-перепродавцы;
  - Бюджетные организации;
  - Население;
  - Прочие;
  - Без дифференциации.
В случае дифференциации тарифов по группам потребителей информация по ним указывается в отдельных строках.</t>
  </si>
  <si>
    <t xml:space="preserve">Добавить значение признака дифференциации</t>
  </si>
  <si>
    <t xml:space="preserve">В случае наличия нескольких значений признака дифференциации тарифов информация по ним указывается в отдельных строках.
В случае дифференциации тарифов по периодам действия тарифа информация по ним указывается в отдельных колонках.</t>
  </si>
  <si>
    <t xml:space="preserve">Добавить наименование признака дифференциации</t>
  </si>
  <si>
    <t xml:space="preserve">Одноставочный тариф</t>
  </si>
  <si>
    <t>NUM_FLAG_DIFF</t>
  </si>
  <si>
    <t>NUM_DATA_DIFF</t>
  </si>
  <si>
    <t xml:space="preserve">Одноставочный тариф,
руб./куб. м</t>
  </si>
  <si>
    <t xml:space="preserve">ставка платы за объем поданной воды,
руб./куб. м</t>
  </si>
  <si>
    <t xml:space="preserve">ставка платы за содержание мощности,
руб./куб. м в час</t>
  </si>
  <si>
    <t>pt_ist_te_9</t>
  </si>
  <si>
    <t>pt_ist_te_10</t>
  </si>
  <si>
    <t>pt_ist_te_11</t>
  </si>
  <si>
    <t>pt_ist_te_12</t>
  </si>
  <si>
    <t>Заявитель</t>
  </si>
  <si>
    <t xml:space="preserve">Наименование объекта, адрес</t>
  </si>
  <si>
    <t xml:space="preserve">В колонке "Параметр дифференциации тарифа/Заявитель" указывается наименование категории потребителей/заявителя, к которой относится тариф.
Даты начала и окончания указываются в виде "ДД.ММ.ГГГГ".
В случае отсутствия даты окончания тарифа в колонке "Дата окончания" указывается "Нет".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
В случае дифференциации тарифов по периодам действия тарифа информация по ним указывается в отдельных колонках.</t>
  </si>
  <si>
    <t xml:space="preserve">Добавить условия прокладки сетей</t>
  </si>
  <si>
    <t xml:space="preserve">Добавить протяженность водопроводной сети</t>
  </si>
  <si>
    <t xml:space="preserve">Добавить диапазон диаметров водопроводной сети</t>
  </si>
  <si>
    <t xml:space="preserve">Добавить подключаемую нагрузку</t>
  </si>
  <si>
    <t>DIAMETERS_2</t>
  </si>
  <si>
    <t xml:space="preserve">Параметр дифференциации тарифа/Заявитель/Наименование объекта/Адрес</t>
  </si>
  <si>
    <t xml:space="preserve">Подключаемая нагрузка водопроводной сети,
куб. м/сут</t>
  </si>
  <si>
    <t xml:space="preserve">Диапазон диаметров водопроводной сети,
мм</t>
  </si>
  <si>
    <t xml:space="preserve">Протяженность водопроводной сети,
км</t>
  </si>
  <si>
    <t xml:space="preserve">Условия прокладки сетей</t>
  </si>
  <si>
    <t xml:space="preserve">Ставка тарифа за подключаемую нагрузку водопроводной сети,
тыс. руб./куб. м в сутки</t>
  </si>
  <si>
    <t xml:space="preserve">Ставка тарифа за протяженность водопроводной сети диаметром d,
тыс. руб./км</t>
  </si>
  <si>
    <t xml:space="preserve">Срок действия тарифов</t>
  </si>
  <si>
    <t>pt_ist_te_13</t>
  </si>
  <si>
    <t xml:space="preserve">Наименование централизованной системы водоотведения</t>
  </si>
  <si>
    <t xml:space="preserve">Указывается наименование централизованной системы водоотведения при наличии дифференциации тарифа по централизованным системам водоотведения.
В случае дифференциации тарифов по централизованным системам водоотведения информация по ним указывается в отдельных строках.</t>
  </si>
  <si>
    <t xml:space="preserve">одноставочный тариф,
руб./куб. м</t>
  </si>
  <si>
    <t xml:space="preserve">ставка платы за объем 
принятых сточных вод,
руб./куб. м</t>
  </si>
  <si>
    <t>pt_ist_te_17</t>
  </si>
  <si>
    <t>pt_ist_te_18</t>
  </si>
  <si>
    <t xml:space="preserve">Добавить протяженность сети</t>
  </si>
  <si>
    <t xml:space="preserve">Добавить диапазон диаметров</t>
  </si>
  <si>
    <t xml:space="preserve">Подключаемая нагрузка канализационной сети,
куб. м/сут</t>
  </si>
  <si>
    <t xml:space="preserve">Диапазон диаметров канализационной сети,
мм</t>
  </si>
  <si>
    <t xml:space="preserve">Протяженность канализационной  сети,
км</t>
  </si>
  <si>
    <t xml:space="preserve">Ставка тарифа за подключаемую нагрузку канализационной сети,
тыс. руб./куб. м в сутки</t>
  </si>
  <si>
    <t xml:space="preserve">Ставка тарифа за протяженность канализационной сети диаметром d,
тыс. руб./км</t>
  </si>
  <si>
    <t>pt_ist_te_19</t>
  </si>
  <si>
    <t xml:space="preserve">Наименование централизованной системы горячего водоснабжения</t>
  </si>
  <si>
    <t xml:space="preserve">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
В случае дифференциации тарифов по централизованным системам горячего водоснабжения информация по ним указывается в отдельных строках.</t>
  </si>
  <si>
    <t xml:space="preserve">Одноставочный тариф, руб./куб. м</t>
  </si>
  <si>
    <t xml:space="preserve">Компонент на холодную воду</t>
  </si>
  <si>
    <t xml:space="preserve">Компонент на тепловую энергию</t>
  </si>
  <si>
    <t xml:space="preserve">Одноставочный, руб./куб.м</t>
  </si>
  <si>
    <t>Двухставочный тариф</t>
  </si>
  <si>
    <t xml:space="preserve">Одноставочный, руб./Гкал</t>
  </si>
  <si>
    <t xml:space="preserve">Ставка за содержание системы, руб./куб. м в час</t>
  </si>
  <si>
    <t xml:space="preserve">Ставка за объём поданной воды, руб./куб.м</t>
  </si>
  <si>
    <t xml:space="preserve">Ставка за тепловую энергию, руб./Гкал</t>
  </si>
  <si>
    <t xml:space="preserve">Ставка за содержание тепловой мощности, руб./Гкал в час в месяц</t>
  </si>
  <si>
    <t>pt_ist_te_14</t>
  </si>
  <si>
    <t>pt_ist_te_15</t>
  </si>
  <si>
    <t>pt_ist_te_16</t>
  </si>
  <si>
    <t>vt</t>
  </si>
  <si>
    <t>х</t>
  </si>
  <si>
    <t xml:space="preserve">В колонке «Наименование параметра» указывается вид приобретаемого топлива.
Если приобретается несколько видов топлива, то информация по каждому из них указывается отдельно.</t>
  </si>
  <si>
    <t xml:space="preserve">общая стоимость</t>
  </si>
  <si>
    <t>объём</t>
  </si>
  <si>
    <t xml:space="preserve">В колонке «Единица измерения» указываются единицы измерения объема приобретаемого топлива.
В колонке «Информация» указывается величина объема приобретаемого топлива.</t>
  </si>
  <si>
    <t xml:space="preserve">стоимость за единицу объёма</t>
  </si>
  <si>
    <t xml:space="preserve">тыс. руб.</t>
  </si>
  <si>
    <t xml:space="preserve">стоимость доставки</t>
  </si>
  <si>
    <t xml:space="preserve">способ приобретения</t>
  </si>
  <si>
    <t xml:space="preserve">Указываются прочие расходы, которые подлежат отнесению на регулируемые виды деятельности в соответствии с законодательством.</t>
  </si>
  <si>
    <t>Гкал/ч</t>
  </si>
  <si>
    <t xml:space="preserve">Указывается установленная тепловая мощность для источника тепловой энергии.</t>
  </si>
  <si>
    <t>%</t>
  </si>
  <si>
    <t xml:space="preserve">Указывается показатель использования по производственному объекту как процент объем перекачки по отношению к пиковому дню отчетного года.</t>
  </si>
  <si>
    <t xml:space="preserve">кг у. т./Гкал</t>
  </si>
  <si>
    <t xml:space="preserve">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</si>
  <si>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 xml:space="preserve">кг усл. топл./Гкал</t>
  </si>
  <si>
    <t xml:space="preserve">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</si>
  <si>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 xml:space="preserve">Территория оказания услуг</t>
  </si>
  <si>
    <t xml:space="preserve">Централизованная система</t>
  </si>
  <si>
    <t xml:space="preserve">Единица измерения</t>
  </si>
  <si>
    <t>p</t>
  </si>
  <si>
    <t>HEAT_P1</t>
  </si>
  <si>
    <t xml:space="preserve">Добавить вид топлива</t>
  </si>
  <si>
    <t>HOTVSNA_P1</t>
  </si>
  <si>
    <t>руб.</t>
  </si>
  <si>
    <t xml:space="preserve">тыс. кВт·ч</t>
  </si>
  <si>
    <t>HEAT_P6</t>
  </si>
  <si>
    <t>NOT_HOTVSNA</t>
  </si>
  <si>
    <t>отсутствует</t>
  </si>
  <si>
    <t>NOT_HEAT_P1</t>
  </si>
  <si>
    <t xml:space="preserve">Добавить прочие расходы</t>
  </si>
  <si>
    <t>HEAT_P2</t>
  </si>
  <si>
    <t>NOT_HEAT_P2</t>
  </si>
  <si>
    <t>COLDVSNA_P1</t>
  </si>
  <si>
    <t xml:space="preserve">тыс. куб. м</t>
  </si>
  <si>
    <t>HOTVSNA_P2</t>
  </si>
  <si>
    <t xml:space="preserve">тыс. Гкал</t>
  </si>
  <si>
    <t>VOTV_P1</t>
  </si>
  <si>
    <t>HEAT_P3</t>
  </si>
  <si>
    <t xml:space="preserve">Добавить источник тепловой энергии</t>
  </si>
  <si>
    <t xml:space="preserve">В случае наличия нескольких источников тепловой энергии установленная тепловая мощность по каждому из них указывается в отдельных строках.</t>
  </si>
  <si>
    <t>hyp</t>
  </si>
  <si>
    <t xml:space="preserve">тыс. Гкал/год</t>
  </si>
  <si>
    <t>человек</t>
  </si>
  <si>
    <t>HEAT_P4</t>
  </si>
  <si>
    <t>VSNA</t>
  </si>
  <si>
    <t xml:space="preserve">тыс. кВт·ч на тыс. куб. м</t>
  </si>
  <si>
    <t>COLDVSNA_P2</t>
  </si>
  <si>
    <t xml:space="preserve">Добавить производственный объект</t>
  </si>
  <si>
    <t xml:space="preserve">В случае наличия нескольких производственных объектов информация по каждому из них указывается в отдельной строке.</t>
  </si>
  <si>
    <t>HEAT_P5</t>
  </si>
  <si>
    <t xml:space="preserve">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</si>
  <si>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 xml:space="preserve">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</si>
  <si>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 xml:space="preserve">тыс. кВт.ч/Гкал</t>
  </si>
  <si>
    <t>куб.м/Гкал</t>
  </si>
  <si>
    <t xml:space="preserve">Способ приобретения</t>
  </si>
  <si>
    <t xml:space="preserve">Реквизиты договора</t>
  </si>
  <si>
    <t xml:space="preserve">Наименование товара/услуги</t>
  </si>
  <si>
    <t xml:space="preserve">Объем приобретенных товаров, услуг</t>
  </si>
  <si>
    <t xml:space="preserve">Единица измерения объема</t>
  </si>
  <si>
    <t xml:space="preserve">Стоимость, тыс. руб.</t>
  </si>
  <si>
    <t xml:space="preserve">Доля расходов, % (от суммы расходов по указанной статье)</t>
  </si>
  <si>
    <t>NOTSHOW</t>
  </si>
  <si>
    <t xml:space="preserve">Информация об объемах товаров и услуг, их стоимости и способах приобретения у организаций, в том числе:</t>
  </si>
  <si>
    <t xml:space="preserve">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</si>
  <si>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</si>
  <si>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 xml:space="preserve">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</si>
  <si>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 xml:space="preserve">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</si>
  <si>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 xml:space="preserve">Добавить поставщика</t>
  </si>
  <si>
    <t>L.HEAT.POWER.DYN</t>
  </si>
  <si>
    <t xml:space="preserve">Установленная тепловая мощность объекта основных фондов</t>
  </si>
  <si>
    <t>ЧСЛ</t>
  </si>
  <si>
    <t>НОМЕР</t>
  </si>
  <si>
    <t xml:space="preserve">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</si>
  <si>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</si>
  <si>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</si>
  <si>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</si>
  <si>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</si>
  <si>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</si>
  <si>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</si>
  <si>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 xml:space="preserve">Годовая бухгалтерская (финансовая) отчетность</t>
  </si>
  <si>
    <t>СТР</t>
  </si>
  <si>
    <t xml:space="preserve">Не определено</t>
  </si>
  <si>
    <t xml:space="preserve">Годовая бухгалтерская (финансовая) отчетность, включая бухгалтерский баланс и приложения к нему</t>
  </si>
  <si>
    <t>p3</t>
  </si>
  <si>
    <t xml:space="preserve">Указывается ссылка на документ, предварительно загруженный в хранилище файлов ФГИС ЕИАС.</t>
  </si>
  <si>
    <t>L.HEAT.POWER</t>
  </si>
  <si>
    <t xml:space="preserve">Установленная тепловая мощность объектов основных фондов</t>
  </si>
  <si>
    <t xml:space="preserve">Установленная тепловая мощность объектов основных фондов, используемых для теплоснабжения, в том числе по каждому источнику тепловой энергии</t>
  </si>
  <si>
    <t xml:space="preserve">Указывается суммарная установленная тепловая мощность объектов основных фондов, используемых для осуществления теплоснабжения.</t>
  </si>
  <si>
    <t>2.0</t>
  </si>
  <si>
    <t>L.HEAT.LOAD</t>
  </si>
  <si>
    <t xml:space="preserve">Тепловая нагрузка по договорам теплоснабжения</t>
  </si>
  <si>
    <t xml:space="preserve">Информация раскрывается только единой теплоснабжающей организацией в ценовых зонах теплоснабжения.</t>
  </si>
  <si>
    <t>L.VOLUME.ENERGY.PRODUCED</t>
  </si>
  <si>
    <t xml:space="preserve">Объем вырабатываемой тепловой энергии</t>
  </si>
  <si>
    <t xml:space="preserve">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</si>
  <si>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</si>
  <si>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 xml:space="preserve">Объем приобретаемой тепловой энергии</t>
  </si>
  <si>
    <t xml:space="preserve">Объем приобретаемой единой теплоснабжающей организацией в ценовых зонах теплоснабжения тепловой энергии</t>
  </si>
  <si>
    <t>L.VOLUME.ENERGY.RELEASED</t>
  </si>
  <si>
    <t xml:space="preserve">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</si>
  <si>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</si>
  <si>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 xml:space="preserve">Указывается общий объем тепловой энергии, отпускаемой потребителям.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</si>
  <si>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</si>
  <si>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</si>
  <si>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</si>
  <si>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</si>
  <si>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</si>
  <si>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</si>
  <si>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</si>
  <si>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</si>
  <si>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</si>
  <si>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 xml:space="preserve">Объем тепловой энергии по нормативам потребления</t>
  </si>
  <si>
    <t>6.3</t>
  </si>
  <si>
    <t xml:space="preserve">по нормативам потребления коммунальных услуг и нормативам потребления коммунальных ресурсов</t>
  </si>
  <si>
    <t>L.VOLUME.LOSSES.PLAN</t>
  </si>
  <si>
    <t xml:space="preserve">Плановый объем потерь при передаче тепловой энергии</t>
  </si>
  <si>
    <t xml:space="preserve">тыс. Гкал/год </t>
  </si>
  <si>
    <t>L.VOLUME.LOSSES.FACT</t>
  </si>
  <si>
    <t xml:space="preserve">Фактический объем потерь при передаче тепловой энергии</t>
  </si>
  <si>
    <t>L.UNIT.COST.PLAN</t>
  </si>
  <si>
    <t xml:space="preserve">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</si>
  <si>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</si>
  <si>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</si>
  <si>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 xml:space="preserve">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</si>
  <si>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</si>
  <si>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</si>
  <si>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 xml:space="preserve">Среднесписочная численность основного производственного персонала</t>
  </si>
  <si>
    <t xml:space="preserve">L.ADMINISTRATIVE STAFF</t>
  </si>
  <si>
    <t xml:space="preserve">Среднесписочная численность административно-управленческого персонала</t>
  </si>
  <si>
    <t>L.UNIT.COST.EE</t>
  </si>
  <si>
    <t xml:space="preserve">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</si>
  <si>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</si>
  <si>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</si>
  <si>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 xml:space="preserve">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</si>
  <si>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</si>
  <si>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 xml:space="preserve">куб. м/Гкал</t>
  </si>
  <si>
    <t>L.CONDITION.INFO</t>
  </si>
  <si>
    <t xml:space="preserve">Информация о показателях технико-экономического состояния систем теплоснабжения</t>
  </si>
  <si>
    <t xml:space="preserve">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</si>
  <si>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</si>
  <si>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 xml:space="preserve">Прочие стандарты</t>
  </si>
  <si>
    <t xml:space="preserve">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</si>
  <si>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</si>
  <si>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 xml:space="preserve">Стандарты качества обслуживания</t>
  </si>
  <si>
    <t xml:space="preserve">Стандарты качества обслуживания единой теплоснабжающей организацией в ценовых зонах теплоснабжения потребителей тепловой энергии</t>
  </si>
  <si>
    <t xml:space="preserve">Информация включает сведения о месте их опубликования.</t>
  </si>
  <si>
    <t>L.STANDARDS.INTERACTION</t>
  </si>
  <si>
    <t xml:space="preserve">Стандарты взаимодействия</t>
  </si>
  <si>
    <t xml:space="preserve">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</si>
  <si>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</si>
  <si>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 xml:space="preserve">Информация о выполнении соглашения</t>
  </si>
  <si>
    <t xml:space="preserve">Информация о выполнении соглашения об исполнении схемы теплоснабжения</t>
  </si>
  <si>
    <t xml:space="preserve">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</si>
  <si>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 xml:space="preserve">Добавить стандарты</t>
  </si>
  <si>
    <t xml:space="preserve">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</si>
  <si>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 xml:space="preserve">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</si>
  <si>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 xml:space="preserve">Выручка от регулируемого вида деятельности</t>
  </si>
  <si>
    <t xml:space="preserve">Указывается выручка от регулируемого вида деятельности </t>
  </si>
  <si>
    <t xml:space="preserve">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</si>
  <si>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</si>
  <si>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</si>
  <si>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 xml:space="preserve">производственные расходы, в том числе:</t>
  </si>
  <si>
    <t xml:space="preserve">Указывается общая сумма производственных расходов.</t>
  </si>
  <si>
    <t>2.1.1</t>
  </si>
  <si>
    <t xml:space="preserve">расходы на оплату труда основного производственного персонала</t>
  </si>
  <si>
    <t xml:space="preserve">Указывается общая сумма расходов на оплату труда и страховых взносов производственного персонала.</t>
  </si>
  <si>
    <t>2.1.2</t>
  </si>
  <si>
    <t xml:space="preserve">страховые взносы на обязательное социальное страхование, выплачиваемые из фонда оплаты труда основного производственного персонала</t>
  </si>
  <si>
    <t xml:space="preserve">ремонтные расходы, включая:</t>
  </si>
  <si>
    <t xml:space="preserve">Указывается общая сумма ремонтных расходов</t>
  </si>
  <si>
    <t>2.2.1</t>
  </si>
  <si>
    <t xml:space="preserve">расходы на текущий ремонт</t>
  </si>
  <si>
    <t>2.2.2</t>
  </si>
  <si>
    <t xml:space="preserve">расходы на капитальный ремонт</t>
  </si>
  <si>
    <t xml:space="preserve">административные расходы, в том числе:</t>
  </si>
  <si>
    <t xml:space="preserve">Указывается общая сумма расходов на оплату труда и страховых взносов административно-управленческого персонала</t>
  </si>
  <si>
    <t>2.3.1</t>
  </si>
  <si>
    <t xml:space="preserve">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</si>
  <si>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</si>
  <si>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</si>
  <si>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</si>
  <si>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 xml:space="preserve">расходы на амортизацию основных средств и нематериальных активов:</t>
  </si>
  <si>
    <t xml:space="preserve">Указывается общая сумма расходов на амортизацию основных средства и нематериальных активов</t>
  </si>
  <si>
    <t>2.4.1</t>
  </si>
  <si>
    <t xml:space="preserve">расходы на амортизацию основных средств</t>
  </si>
  <si>
    <t>2.4.2</t>
  </si>
  <si>
    <t xml:space="preserve">расходы на амортизацию нематериальных активов</t>
  </si>
  <si>
    <t>2.5</t>
  </si>
  <si>
    <t xml:space="preserve">расходы на арендную плату</t>
  </si>
  <si>
    <t>2.6</t>
  </si>
  <si>
    <t xml:space="preserve">расходы на лизинговые платежи</t>
  </si>
  <si>
    <t>2.7</t>
  </si>
  <si>
    <t xml:space="preserve"> расходы на концессионную плату</t>
  </si>
  <si>
    <t>2.8</t>
  </si>
  <si>
    <t xml:space="preserve">прочие расходы, которые подлежат отнесению на регулируемые виды деятельности, в том числе:</t>
  </si>
  <si>
    <t xml:space="preserve">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</si>
  <si>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 xml:space="preserve">В случае наличия нескольких видов прочих расходов информация указывается в отдельных строках.</t>
  </si>
  <si>
    <t>2.9</t>
  </si>
  <si>
    <t xml:space="preserve">расходы на транспортирование твёрдых коммунальных отходов</t>
  </si>
  <si>
    <t xml:space="preserve">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</si>
  <si>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 xml:space="preserve">Чистая прибыль с разбивкой по регулируемым видам деятельности, в том числе:</t>
  </si>
  <si>
    <t xml:space="preserve">Указывается общая сумма чистой прибыли, полученной от регулируемого вида деятельности.</t>
  </si>
  <si>
    <t xml:space="preserve">размер расходования чистой прибыли на финансирование мероприятий, предусмотренных инвестиционной программой</t>
  </si>
  <si>
    <t xml:space="preserve">Изменение стоимости основных фондов, в том числе:</t>
  </si>
  <si>
    <t xml:space="preserve">Указывается общее изменение стоимости основных фондов.</t>
  </si>
  <si>
    <t>4.1</t>
  </si>
  <si>
    <t xml:space="preserve">изменение стоимости основных фондов за счет их ввода в эксплуатацию (вывода из эксплуатации)</t>
  </si>
  <si>
    <t xml:space="preserve">Указываются общее изменение стоимости основных фондов за счет их ввода в эксплуатацию (вывода из эксплуатации).</t>
  </si>
  <si>
    <t>4.1.1</t>
  </si>
  <si>
    <t xml:space="preserve">изменение стоимости основных фондов за счет их ввода в эксплуатацию</t>
  </si>
  <si>
    <t xml:space="preserve">Указываются изменение стоимости основных фондов за счет их ввода в эксплуатацию.</t>
  </si>
  <si>
    <t>4.1.2</t>
  </si>
  <si>
    <t xml:space="preserve">изменение стоимости основных фондов за счет их вывода в эксплуатацию</t>
  </si>
  <si>
    <t xml:space="preserve">Указываются изменение стоимости основных фондов за счет их вывода из эксплуатации.</t>
  </si>
  <si>
    <t>4.1.3</t>
  </si>
  <si>
    <t xml:space="preserve">изменение стоимости основных фондов за счет их переоценки</t>
  </si>
  <si>
    <t xml:space="preserve">Указываются изменение стоимости основных фондов за счет их переоценки.</t>
  </si>
  <si>
    <t>-</t>
  </si>
  <si>
    <t xml:space="preserve">Указывается ссылка на документ, предварительно загруженный в хранилище файлов ФГИС ЕИАС.
Раскрывается организацией, выручка от регулируемых видов деятельности которой превышает 80 процентов совокупной выручки за отчетный год.</t>
  </si>
  <si>
    <t xml:space="preserve">Объём принятых твёрдых коммунальных отходов</t>
  </si>
  <si>
    <t xml:space="preserve">тыс. куб. м
в год</t>
  </si>
  <si>
    <t xml:space="preserve">Указание объема принятых твёрдых коммунальных отходов необязательно при указании массы принятых твёрдых коммунальных отходов.</t>
  </si>
  <si>
    <t xml:space="preserve">Масса принятых твёрдых коммунальных отходов</t>
  </si>
  <si>
    <t xml:space="preserve">тонн в год</t>
  </si>
  <si>
    <t xml:space="preserve">Указание массы принятых твёрдых коммунальных отходов необязательно при указании объёма принятых твёрдых коммунальных отходов.</t>
  </si>
  <si>
    <t xml:space="preserve">Среднесписочная численность основного персонала</t>
  </si>
  <si>
    <t xml:space="preserve">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</si>
  <si>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 xml:space="preserve">Выручка от деятельности</t>
  </si>
  <si>
    <t xml:space="preserve">Указывается выручка от деятельности</t>
  </si>
  <si>
    <t xml:space="preserve">Себестоимость оказываемых услуг по регулируемому виду деятельности, включая:</t>
  </si>
  <si>
    <t xml:space="preserve">Указывается суммарная себестоимость</t>
  </si>
  <si>
    <t xml:space="preserve">расходы на оплату труда и страховые взносы на обязательное социальное страхование, выплачиваемые из фонда оплаты труда</t>
  </si>
  <si>
    <t xml:space="preserve">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</si>
  <si>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</si>
  <si>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</si>
  <si>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 xml:space="preserve">расходы на топливо и горюче-смазочные материалы для транспортных средств, используемых для транспортирования твёрдых коммунальных отходов</t>
  </si>
  <si>
    <t xml:space="preserve">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</si>
  <si>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 xml:space="preserve">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</si>
  <si>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 xml:space="preserve">расходы на амортизацию транспортных средств, используемых для транспортирования твёрдых коммунальных отходов</t>
  </si>
  <si>
    <t xml:space="preserve">расходы на арендную плату и лизинговые платежи в отношении транспортных средств, используемых для транспортирования твёрдых коммунальных отходов</t>
  </si>
  <si>
    <t xml:space="preserve">административные расходы (за исключением расходов, предусмотренных пунктами 2.1 и 2.8 данной формы)</t>
  </si>
  <si>
    <t xml:space="preserve">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</si>
  <si>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 xml:space="preserve">прочие расходы</t>
  </si>
  <si>
    <t xml:space="preserve">Чистая прибыль в отношении деятельности по транспортированию твёрдых коммунальных отходов</t>
  </si>
  <si>
    <t xml:space="preserve">Изменение стоимости основных фондов (транспортных средств, используемых для транспортирования твёрдых коммунальных отходов), в том числе:</t>
  </si>
  <si>
    <t xml:space="preserve">Указывается общее изменение стоимости основных фондов за счет их ввода в эксплуатацию (вывода из эксплуатации), переоценки.</t>
  </si>
  <si>
    <t xml:space="preserve">Указывается изменение стоимости основных фондов за счет их ввода в эксплуатацию.</t>
  </si>
  <si>
    <t>4.2</t>
  </si>
  <si>
    <t xml:space="preserve">изменение стоимости основных фондов за счет их вывода из эксплуатации</t>
  </si>
  <si>
    <t xml:space="preserve">Указывается изменение стоимости основных фондов за счет их вывода из эксплуатации.</t>
  </si>
  <si>
    <t>4.3</t>
  </si>
  <si>
    <t xml:space="preserve">Указывается изменение стоимости основных фондов за счет их переоценки.</t>
  </si>
  <si>
    <t xml:space="preserve">Указывается ссылка на документ, предварительно загруженный в хранилище файлов ФГИС ЕИАС.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</si>
  <si>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 xml:space="preserve">Объём принятых для транспортирования твёрдых коммунальных отходов</t>
  </si>
  <si>
    <t xml:space="preserve">Масса принятых для транспортирования твёрдых коммунальных отходов</t>
  </si>
  <si>
    <t>&lt;1&gt;</t>
  </si>
  <si>
    <t xml:space="preserve">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</si>
  <si>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 xml:space="preserve">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</si>
  <si>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 xml:space="preserve">Информация, подлежащая раскрытию</t>
  </si>
  <si>
    <t>HEAT</t>
  </si>
  <si>
    <t xml:space="preserve">Количество аварий на тепловых сетях</t>
  </si>
  <si>
    <t xml:space="preserve">ед. на км</t>
  </si>
  <si>
    <t xml:space="preserve">Указывается количество любых нарушений на тепловых сетях в расчете на один километр трубопровода.</t>
  </si>
  <si>
    <t xml:space="preserve">Количество аварий на источниках тепловой энергии</t>
  </si>
  <si>
    <t xml:space="preserve">ед. на источник</t>
  </si>
  <si>
    <t xml:space="preserve">Указывается количество любых нарушений на источниках тепловой энергии</t>
  </si>
  <si>
    <t xml:space="preserve">Сведения о несоблюдении значений параметров качества теплоснабжения и (или) параметров, отражающих допустимые перерывы в теплоснабжении</t>
  </si>
  <si>
    <t xml:space="preserve">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</si>
  <si>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 xml:space="preserve">количество составленных актов, подтверждающих факт превышения разрешенных отклонений значений параметров</t>
  </si>
  <si>
    <t>шт.</t>
  </si>
  <si>
    <t xml:space="preserve">средняя продолжительность устранения превышения разрешенных отклонений значений параметров</t>
  </si>
  <si>
    <t>дн.</t>
  </si>
  <si>
    <t xml:space="preserve">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</si>
  <si>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 xml:space="preserve">Показатели надежности и энергетической эффективности, установленные в соответствии с законодательством Российской Федерации</t>
  </si>
  <si>
    <t xml:space="preserve">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
В случае, если показатели не утверждены в колонке «Информация» указывается «Не утверждены».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</si>
  <si>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 xml:space="preserve">Плановые показатели надежности объектов теплоснабжения</t>
  </si>
  <si>
    <t xml:space="preserve">количество прекращений подачи тепловой энергии, теплоносителя в результате технологических нарушений на тепловых сетях на 1 км тепловых сетей</t>
  </si>
  <si>
    <t xml:space="preserve">ед.в год/км</t>
  </si>
  <si>
    <t xml:space="preserve">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</si>
  <si>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</si>
  <si>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</si>
  <si>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</si>
  <si>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 xml:space="preserve">удельный расход топлива на производство единицы тепловой энергии, отпускаемой с коллекторов источников тепловой энергии</t>
  </si>
  <si>
    <t>т.у.т./Гкал</t>
  </si>
  <si>
    <t>4.2.2</t>
  </si>
  <si>
    <t xml:space="preserve">отношение величины технологических потерь к материальной характеристике тепловой сети</t>
  </si>
  <si>
    <t>4.2.1.1</t>
  </si>
  <si>
    <t xml:space="preserve">при передаче тепловой энергии</t>
  </si>
  <si>
    <t>Гкал/кв.м</t>
  </si>
  <si>
    <t>4.2.1.2</t>
  </si>
  <si>
    <t xml:space="preserve">при передаче теплоносителя</t>
  </si>
  <si>
    <t>тонн/кв.м</t>
  </si>
  <si>
    <t>4.2.3</t>
  </si>
  <si>
    <t xml:space="preserve">величина технологических потерь</t>
  </si>
  <si>
    <t>4.2.3.1</t>
  </si>
  <si>
    <t>Гкал/год</t>
  </si>
  <si>
    <t>4.2.3.2</t>
  </si>
  <si>
    <t xml:space="preserve">при передаче теплоносителя по тепловым сетям</t>
  </si>
  <si>
    <t>тонн/год</t>
  </si>
  <si>
    <t xml:space="preserve">Доля исполненных в срок договоров о подключении (технологическом присоединении) к системе теплоснабжения</t>
  </si>
  <si>
    <t xml:space="preserve">Указывается процент от общего количества заключенных договоров о подключении (технологическом присоединении) к системе теплоснабжения.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</si>
  <si>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Средняя продолжительность рассмотрения заявок на заключение договоров о подключении (технологическом присоединении) к системе теплоснабжения</t>
  </si>
  <si>
    <t xml:space="preserve">Единой теплоснабжающей организацией информация раскрывается в зоне ее деятельности в ценовых зонах теплоснабжения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</si>
  <si>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</si>
  <si>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 xml:space="preserve">характеристиках товаров и услуг, поставляемых и оказываемых этими организациями в ценовых зонах теплоснабжения.</t>
  </si>
  <si>
    <t>COLDVSNA</t>
  </si>
  <si>
    <t xml:space="preserve">Количество аварий на системах холодного водоснабжения</t>
  </si>
  <si>
    <t xml:space="preserve">Указывается количество любых нарушений функционирования системы холодного водоснабжения в расчете на один километр трубопровода.</t>
  </si>
  <si>
    <t xml:space="preserve">Количество случаев временного ограничения холодного водоснабжения по графику</t>
  </si>
  <si>
    <t xml:space="preserve">количество случаев ограничения холодного водоснабжения по графику для ограничений сроком менее 24 часов в сутки</t>
  </si>
  <si>
    <t>ед.</t>
  </si>
  <si>
    <t xml:space="preserve">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</si>
  <si>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 xml:space="preserve">срок действия ограничений холодного водоснабжения по графику для ограничений сроком менее 24 часов в сутки</t>
  </si>
  <si>
    <t>ч</t>
  </si>
  <si>
    <t xml:space="preserve">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</si>
  <si>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 xml:space="preserve">Доля потребителей, в отношении которых ограничено холодное водоснабжение:</t>
  </si>
  <si>
    <t xml:space="preserve">доля потребителей, в отношении которых ограничено холодное водоснабжение сроком менее 24 часов в сутки</t>
  </si>
  <si>
    <t xml:space="preserve">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</si>
  <si>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 xml:space="preserve">доля потребителей, в отношении которых ограничено холодное водоснабжение сроком 24 часа в сутки и более</t>
  </si>
  <si>
    <t xml:space="preserve">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</si>
  <si>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 xml:space="preserve">Общее количество отобранных проб питьевой воды по следующим показателям</t>
  </si>
  <si>
    <t>мутность</t>
  </si>
  <si>
    <t>цветность</t>
  </si>
  <si>
    <t xml:space="preserve">хлор остаточный общий, в том числе:</t>
  </si>
  <si>
    <t>4.3.1</t>
  </si>
  <si>
    <t xml:space="preserve">хлор остаточный связанный</t>
  </si>
  <si>
    <t>4.3.2</t>
  </si>
  <si>
    <t xml:space="preserve">хлор остаточный свободный</t>
  </si>
  <si>
    <t>4.4</t>
  </si>
  <si>
    <t xml:space="preserve">общие колиформные бактерии</t>
  </si>
  <si>
    <t>4.5</t>
  </si>
  <si>
    <t xml:space="preserve">термотолерантные колиформные бактерии</t>
  </si>
  <si>
    <t xml:space="preserve">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</si>
  <si>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</si>
  <si>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</si>
  <si>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</si>
  <si>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</si>
  <si>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</si>
  <si>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</si>
  <si>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 xml:space="preserve">Доля исполненных в срок договоров о подключении (технологическом присоединении) к централизованной системе холодного водоснабжения</t>
  </si>
  <si>
    <t xml:space="preserve">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</si>
  <si>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 xml:space="preserve">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</si>
  <si>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 xml:space="preserve">О результатах технического обследования централизованных систем холодного водоснабжения, в том числе:</t>
  </si>
  <si>
    <t>8.1</t>
  </si>
  <si>
    <t xml:space="preserve">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</si>
  <si>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</si>
  <si>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 xml:space="preserve">Количество аварий на системах горячего водоснабжения</t>
  </si>
  <si>
    <t xml:space="preserve">Указывается количество нарушений функционирования системы горячего водоснабжения в расчете на один километр трубопровода.</t>
  </si>
  <si>
    <t xml:space="preserve">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</si>
  <si>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 xml:space="preserve">количество часов (суммарно за календарный год), превышающих установленную продолжительность временного прекращения горячего водоснабжения</t>
  </si>
  <si>
    <t xml:space="preserve">количество часов (суммарно за календарный год), превышающих установленную продолжительность ограничения горячего водоснабжения</t>
  </si>
  <si>
    <t xml:space="preserve">доля потребителей, в отношении которых было осуществлено временное прекращение горячего водоснабжения</t>
  </si>
  <si>
    <t xml:space="preserve">доля потребителей, в отношении которых было осуществлено ограничение горячего водоснабжения</t>
  </si>
  <si>
    <t xml:space="preserve">Количество часов (суммарно за календарный год) отклонения показателей температуры подачи горячей воды от нормативных значений в точке разбора</t>
  </si>
  <si>
    <t xml:space="preserve">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</si>
  <si>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 xml:space="preserve">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</si>
  <si>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 xml:space="preserve">О результатах технического обследования централизованных систем горячего водоснабжения, в том числе:</t>
  </si>
  <si>
    <t xml:space="preserve">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</si>
  <si>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</si>
  <si>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 xml:space="preserve">Показатели аварийности на канализационных сетях</t>
  </si>
  <si>
    <t xml:space="preserve">Указывается количество любых нарушений на канализационных сетях.</t>
  </si>
  <si>
    <t xml:space="preserve">Количество засоров на самотечных сетях</t>
  </si>
  <si>
    <t xml:space="preserve">Указывается количество засоров на самотечных сетях.</t>
  </si>
  <si>
    <t xml:space="preserve">Общее количество отобранных проб на сбросе очищенных (частично очищенных) сточных вод:</t>
  </si>
  <si>
    <t xml:space="preserve">Указывается суммарное количество проведенных проб на сбросе очищенных вод.</t>
  </si>
  <si>
    <t xml:space="preserve">взвешенные вещества</t>
  </si>
  <si>
    <t>БПК5</t>
  </si>
  <si>
    <t>аммоний-ион</t>
  </si>
  <si>
    <t>нитрит-анион</t>
  </si>
  <si>
    <t>3.5</t>
  </si>
  <si>
    <t xml:space="preserve">фосфаты (по Р)</t>
  </si>
  <si>
    <t>3.6</t>
  </si>
  <si>
    <t>нефтепродукты</t>
  </si>
  <si>
    <t>3.7</t>
  </si>
  <si>
    <t>микробиология</t>
  </si>
  <si>
    <t xml:space="preserve">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</si>
  <si>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 xml:space="preserve">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</si>
  <si>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</si>
  <si>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</si>
  <si>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 xml:space="preserve">Доля исполненных в срок договоров о подключении (технологическом присоединении) к централизованной системе водоотведения</t>
  </si>
  <si>
    <t xml:space="preserve">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</si>
  <si>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 xml:space="preserve">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</si>
  <si>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 xml:space="preserve">О результатах технического обследования централизованных систем водоотведения, в том числе:</t>
  </si>
  <si>
    <t>7.1</t>
  </si>
  <si>
    <t xml:space="preserve">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</si>
  <si>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 xml:space="preserve">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</si>
  <si>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 xml:space="preserve">О показателях эффективности удаления загрязняющих веществ очистными сооружениями регулируемых организаций</t>
  </si>
  <si>
    <t xml:space="preserve">Наименование выведенного источника тепловой энергии</t>
  </si>
  <si>
    <t xml:space="preserve">В случае вывода из эксплуатации нескольких источников тепловой энергии информация по каждому из них указывается в отдельно.</t>
  </si>
  <si>
    <t xml:space="preserve">Дата вывода</t>
  </si>
  <si>
    <t xml:space="preserve">Дата вывода указывается в виде «ДД.ММ.ГГГГ».</t>
  </si>
  <si>
    <t xml:space="preserve">Наименование тепловой сети</t>
  </si>
  <si>
    <t xml:space="preserve">В случае вывода из эксплуатации нескольких тепловых сетей информация по каждой из них указывается в отдельно.</t>
  </si>
  <si>
    <t xml:space="preserve">Описание ограничения подачи тепловой энергии потребителям</t>
  </si>
  <si>
    <t xml:space="preserve">Дата начала ограничения</t>
  </si>
  <si>
    <t xml:space="preserve">Дата начала ограничения указывается в виде «ДД.ММ.ГГГГ».</t>
  </si>
  <si>
    <t xml:space="preserve">Дата завершения ограничения</t>
  </si>
  <si>
    <t xml:space="preserve">Дата завершения ограничения указывается в виде «ДД.ММ.ГГГГ».</t>
  </si>
  <si>
    <t xml:space="preserve">Описание прекращения режима потребления</t>
  </si>
  <si>
    <t xml:space="preserve">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</si>
  <si>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 xml:space="preserve">Дата прекращения</t>
  </si>
  <si>
    <t xml:space="preserve">Дата прекращения указывается в виде «ДД.ММ.ГГГГ».</t>
  </si>
  <si>
    <t>1.0</t>
  </si>
  <si>
    <t xml:space="preserve">Сведения о выводе источников тепловой энергии из эксплуатации</t>
  </si>
  <si>
    <t xml:space="preserve">Сведения о выводе тепловых сетей из эксплуатации</t>
  </si>
  <si>
    <t xml:space="preserve">Добавить тепловую сеть</t>
  </si>
  <si>
    <t>3.0</t>
  </si>
  <si>
    <t xml:space="preserve">Сведения об основаниях ограничения подачи тепловой энергии</t>
  </si>
  <si>
    <t>Осуществлялось</t>
  </si>
  <si>
    <t xml:space="preserve">В случае, если ограничения подачи тепловой энергии тепловой энергии не происходили, в колонке «Информация» указывается «Не осуществлялось».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
В неоднократных ограничений подачи потребления тепловой энергии потребителями информация по каждому случаю указывается отдельно.</t>
  </si>
  <si>
    <t xml:space="preserve">Добавить ограничение подачи ТЭ</t>
  </si>
  <si>
    <t>4.0</t>
  </si>
  <si>
    <t xml:space="preserve">Сведения об основаниях прекращения подачи тепловой энергии потребителям</t>
  </si>
  <si>
    <t xml:space="preserve">В случае, если прекращения подачи тепловой энергии потребителям не происходили, в колонке «Информация» указывается «Не осуществлялось».
Указывается информация о случаях прекращения подачи тепловой энергии потребителям, предусмотренных законодательством в сфере теплоснабжения.
В случае нескольких прекращений подачи тепловой энергии потребителям информация по каждому случаю указывается отдельно.</t>
  </si>
  <si>
    <t xml:space="preserve">Добавить прекращение подачи ТЭ</t>
  </si>
  <si>
    <t xml:space="preserve">Наименование ИП</t>
  </si>
  <si>
    <t xml:space="preserve">Инвестиционная программа разбивается по мероприятиям и (или) группам мероприятий</t>
  </si>
  <si>
    <t xml:space="preserve">Дата утверждения инвестиционной программы</t>
  </si>
  <si>
    <t xml:space="preserve">Дата изменения инвестиционной программы</t>
  </si>
  <si>
    <t xml:space="preserve">Цель инвестиционной программы</t>
  </si>
  <si>
    <t xml:space="preserve">Наименование исполнительного органа субъекта Российской Федерации (органа местного самоуправления), утвердившего инвестиционную программу</t>
  </si>
  <si>
    <t xml:space="preserve">Наименование органа местного самоуправления, согласовавшего инвестиционную программу</t>
  </si>
  <si>
    <t xml:space="preserve">Период реализации инвестиционной программы</t>
  </si>
  <si>
    <t xml:space="preserve">Решение уполномоченного органа об утверждении инвестиционной программы</t>
  </si>
  <si>
    <t xml:space="preserve">Решение уполномоченного органа о внесении изменений, корректировке инвестиционной программы</t>
  </si>
  <si>
    <t xml:space="preserve">О наличии в инвестиционной программе мероприятий, включенных в концессионное(-ые) соглашение(-я)</t>
  </si>
  <si>
    <t xml:space="preserve">Дата начала</t>
  </si>
  <si>
    <t xml:space="preserve">Дата окончания</t>
  </si>
  <si>
    <t xml:space="preserve">Период реализации</t>
  </si>
  <si>
    <t>Вид</t>
  </si>
  <si>
    <t>Номер</t>
  </si>
  <si>
    <t xml:space="preserve">Дата принятия</t>
  </si>
  <si>
    <t>Тип</t>
  </si>
  <si>
    <t>Наличие</t>
  </si>
  <si>
    <t xml:space="preserve">Реквизиты концессионного(-ых) соглашения(-ий)</t>
  </si>
  <si>
    <t>ip_1</t>
  </si>
  <si>
    <t xml:space="preserve">Добавить инвестиционную программу</t>
  </si>
  <si>
    <t xml:space="preserve">Год реализации инвестиционной программы</t>
  </si>
  <si>
    <t xml:space="preserve">№ п/п
мероприятия</t>
  </si>
  <si>
    <t xml:space="preserve">Группа, к которой относятся мероприятия инвестиционной программы</t>
  </si>
  <si>
    <t>Мероприятие</t>
  </si>
  <si>
    <t xml:space="preserve">№ источника</t>
  </si>
  <si>
    <t xml:space="preserve">О плановых и фактических размерах и источниках финансирования предусмотренных в утвержденной инвестиционной программе с распределением по годам</t>
  </si>
  <si>
    <t xml:space="preserve">Плановый срок реализации мероприятия и (или) группы мероприятий с распределением по годам</t>
  </si>
  <si>
    <t xml:space="preserve">Плановый срок ввода в эксплуатацию/выполнения мероприятия и (или) группы мероприятий</t>
  </si>
  <si>
    <t xml:space="preserve">Фактический срок реализации мероприятия и (или) группы мероприятий с распределением по годам</t>
  </si>
  <si>
    <t xml:space="preserve">Фактический срок ввода в эксплуатацию/выполнения мероприятия и (или) группы мероприятий</t>
  </si>
  <si>
    <t xml:space="preserve">Наименование мероприятия</t>
  </si>
  <si>
    <t xml:space="preserve">Входит в концессионное соглашение</t>
  </si>
  <si>
    <t xml:space="preserve">Объект инфраструктуры</t>
  </si>
  <si>
    <t>Признак</t>
  </si>
  <si>
    <t xml:space="preserve">Номер концессионного соглашения</t>
  </si>
  <si>
    <t xml:space="preserve">№ объекта</t>
  </si>
  <si>
    <t xml:space="preserve">Наименование объекта</t>
  </si>
  <si>
    <t xml:space="preserve">Тип объекта</t>
  </si>
  <si>
    <t xml:space="preserve">Адрес объекта</t>
  </si>
  <si>
    <t>План</t>
  </si>
  <si>
    <t>Факт</t>
  </si>
  <si>
    <t xml:space="preserve">в том числе</t>
  </si>
  <si>
    <t xml:space="preserve">Населенный пункт</t>
  </si>
  <si>
    <t xml:space="preserve">улица, проезд, проспект, переулок, и т.п.</t>
  </si>
  <si>
    <t xml:space="preserve">дом, корпус, строение</t>
  </si>
  <si>
    <t xml:space="preserve">Источник финансирования</t>
  </si>
  <si>
    <t xml:space="preserve">Размер финансирования</t>
  </si>
  <si>
    <t>месяц</t>
  </si>
  <si>
    <t>год</t>
  </si>
  <si>
    <r>
      <rPr>
        <vertAlign val="superscript"/>
        <sz val="9"/>
        <rFont val="Tahoma"/>
      </rPr>
      <t>1</t>
    </r>
    <r>
      <rPr>
        <sz val="9"/>
        <rFont val="Tahoma"/>
      </rPr>
      <t xml:space="preserve"> В соответствии с утвержденной инвестиционной программой</t>
    </r>
  </si>
  <si>
    <t xml:space="preserve">Источники финансирования</t>
  </si>
  <si>
    <t xml:space="preserve">Объем фактического выполнения за счет источников финансирования (тыс. руб. без НДС)</t>
  </si>
  <si>
    <t>Всего</t>
  </si>
  <si>
    <t>I</t>
  </si>
  <si>
    <t xml:space="preserve">Расходы на мероприятия инвестиционной программы</t>
  </si>
  <si>
    <t xml:space="preserve">Собственные средства</t>
  </si>
  <si>
    <t>1.1</t>
  </si>
  <si>
    <t xml:space="preserve">Амортизационные отчисления за исключением переоценки основных средств и нематериальных активов</t>
  </si>
  <si>
    <t>1.2</t>
  </si>
  <si>
    <t xml:space="preserve">Амортизационные отчисления в результате переоценки основных средств и нематериальных активов</t>
  </si>
  <si>
    <t>1.3</t>
  </si>
  <si>
    <t xml:space="preserve">Капитальные вложения (инвестиции), финансируемые за счет нормативной прибыли, учитываемой в необходимой валовой выручке</t>
  </si>
  <si>
    <t>1.4</t>
  </si>
  <si>
    <t xml:space="preserve">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</si>
  <si>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</si>
  <si>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 xml:space="preserve">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</si>
  <si>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</si>
  <si>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 xml:space="preserve">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</si>
  <si>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</si>
  <si>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 xml:space="preserve">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</si>
  <si>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</si>
  <si>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 xml:space="preserve">Экономия средств, достигнутая регулируемой организацией в результате снижения расходов</t>
  </si>
  <si>
    <t>1.9</t>
  </si>
  <si>
    <t xml:space="preserve">Средства, полученные за счет платы за подключение (технологическое присоединение)</t>
  </si>
  <si>
    <t>1.10</t>
  </si>
  <si>
    <t xml:space="preserve">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</si>
  <si>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</si>
  <si>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 xml:space="preserve">Средства, полученные регулируемой организацией в виде платы за негативное воздействие на работу централизованной системы водоотведения</t>
  </si>
  <si>
    <t>1.12</t>
  </si>
  <si>
    <t xml:space="preserve">Прочие собственные средства</t>
  </si>
  <si>
    <t xml:space="preserve">Привлеченные средства</t>
  </si>
  <si>
    <t>Займы</t>
  </si>
  <si>
    <t>Кредиты</t>
  </si>
  <si>
    <t xml:space="preserve">Прочие привлеченные средства</t>
  </si>
  <si>
    <t xml:space="preserve">Бюджетное финансирование</t>
  </si>
  <si>
    <t xml:space="preserve">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</si>
  <si>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 xml:space="preserve">Иные бюджетные средства.</t>
  </si>
  <si>
    <t xml:space="preserve">Прочие источники финансирования</t>
  </si>
  <si>
    <t xml:space="preserve">ИТОГО по программе</t>
  </si>
  <si>
    <t>II</t>
  </si>
  <si>
    <t xml:space="preserve">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</si>
  <si>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 xml:space="preserve">Cредства на возврат займов и кредитов, привлекаемых на реализацию мероприятий инвестиционной программ</t>
  </si>
  <si>
    <t>1.1.1</t>
  </si>
  <si>
    <t xml:space="preserve">Финансируемые за счет нормативной прибыли, учитываемой в необходимой валовой выручке</t>
  </si>
  <si>
    <t>1.1.2</t>
  </si>
  <si>
    <t xml:space="preserve">Амортизационные отчисления</t>
  </si>
  <si>
    <t>1.1.3</t>
  </si>
  <si>
    <t xml:space="preserve">Иные собственные средства</t>
  </si>
  <si>
    <t>1.1.4</t>
  </si>
  <si>
    <t xml:space="preserve">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</si>
  <si>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</si>
  <si>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</si>
  <si>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</si>
  <si>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 xml:space="preserve">Cредства на проценты по займам и кредитам, привлекаемым на реализацию мероприятий инвестиционной программ</t>
  </si>
  <si>
    <t>2.1.3</t>
  </si>
  <si>
    <t>2.1.4</t>
  </si>
  <si>
    <t xml:space="preserve">WARM FEATURES</t>
  </si>
  <si>
    <t xml:space="preserve">OTKO FEATURES</t>
  </si>
  <si>
    <t xml:space="preserve">Цель(-и) ИП</t>
  </si>
  <si>
    <t xml:space="preserve">Способ утверждения показателей</t>
  </si>
  <si>
    <t xml:space="preserve">Описание способа утверждения показателей</t>
  </si>
  <si>
    <t xml:space="preserve">Показатели качества, надежности и бесперебойности, энергетической эффективности</t>
  </si>
  <si>
    <t xml:space="preserve">Показатели надежности</t>
  </si>
  <si>
    <t xml:space="preserve">Показатели энергетической эффективности </t>
  </si>
  <si>
    <t xml:space="preserve">Показатели качества питьевой воды</t>
  </si>
  <si>
    <t xml:space="preserve">Показатели качества горячей воды</t>
  </si>
  <si>
    <t xml:space="preserve">Показатели надежности и бесперебойности</t>
  </si>
  <si>
    <t xml:space="preserve">Показатели энергетической эффективности</t>
  </si>
  <si>
    <t xml:space="preserve">Показатели очистки сточных вод</t>
  </si>
  <si>
    <t xml:space="preserve">Показатель надежности и бесперебойности</t>
  </si>
  <si>
    <t xml:space="preserve">Количество прекращений подачи тепловой энергии, теплоносителя в результате технологических нарушений</t>
  </si>
  <si>
    <t xml:space="preserve">удельный расход топлива на производство единицы тепловой энергии</t>
  </si>
  <si>
    <t xml:space="preserve">Отношение величины технологических потерь к материальной характеристике тепловой сети</t>
  </si>
  <si>
    <t xml:space="preserve">Величина технологических потерь</t>
  </si>
  <si>
    <t xml:space="preserve">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</si>
  <si>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 xml:space="preserve">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</si>
  <si>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 xml:space="preserve">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</si>
  <si>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 xml:space="preserve">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</si>
  <si>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</si>
  <si>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 xml:space="preserve">Доля потерь воды в централизованных системах водоснабжения при транспортировке в общем объёме воды, поданной в водопроводную сеть</t>
  </si>
  <si>
    <t xml:space="preserve">Удельное количество тепловой энергии, расходуемое на подогрев горячей воды</t>
  </si>
  <si>
    <t xml:space="preserve">Удельный расход электрической энергии, потребляемой в технологическом процессе</t>
  </si>
  <si>
    <t xml:space="preserve">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</si>
  <si>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</si>
  <si>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 xml:space="preserve">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</si>
  <si>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 xml:space="preserve">Удельное количество аварий и засоров в расчете на протяженность канализационной сети</t>
  </si>
  <si>
    <t xml:space="preserve">Удельный расход электрической энергии, потребляемой в технологическом процессе для:</t>
  </si>
  <si>
    <t xml:space="preserve">на тепловых сетях на 1 км тепловых сетей</t>
  </si>
  <si>
    <t xml:space="preserve">на источниках тепловой энергии на 1 Гкал/час установленной мощности</t>
  </si>
  <si>
    <t xml:space="preserve">подготовки питьевой воды, на единицу объёма воды, отпускаемой в сеть
</t>
  </si>
  <si>
    <t xml:space="preserve">транспортировки питьевой воды, на единицу объёма транспортируемой воды
</t>
  </si>
  <si>
    <t xml:space="preserve">очистки сточных вод, на единицу объёма очищаемых сточных вод</t>
  </si>
  <si>
    <t xml:space="preserve">транспортировки сточных вод, на единицу объёма транспортируемых сточных вод</t>
  </si>
  <si>
    <t xml:space="preserve">ед. в год/км</t>
  </si>
  <si>
    <t xml:space="preserve">Гкал/куб. м</t>
  </si>
  <si>
    <t xml:space="preserve">кВт*ч/куб. м</t>
  </si>
  <si>
    <t>кВт*ч/куб.м</t>
  </si>
  <si>
    <t>план</t>
  </si>
  <si>
    <t>факт</t>
  </si>
  <si>
    <t>ед</t>
  </si>
  <si>
    <t>5.0</t>
  </si>
  <si>
    <t xml:space="preserve">Рязанская ГРЭС</t>
  </si>
  <si>
    <t xml:space="preserve">Добавить систему</t>
  </si>
  <si>
    <t xml:space="preserve">Добавить описание формы публичного договора</t>
  </si>
  <si>
    <t xml:space="preserve">Добавить описание договора</t>
  </si>
  <si>
    <t xml:space="preserve">сведения о договорах, заключенных в соответствии с частями 2.1 и 2.2 статьи 8 Федерального закона "О теплоснабжении"</t>
  </si>
  <si>
    <t xml:space="preserve">Статья 8 ФЗ 190-ФЗ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
2) цены на теплоноситель в виде пара, поставляемый теплоснабжающими организациями потребителям, другим теплоснабжающим организациям;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
(часть 2.1 введена Федеральным законом от 01.12.2014 № 404-ФЗ)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</si>
  <si>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 xml:space="preserve">Прочие договора</t>
  </si>
  <si>
    <t xml:space="preserve">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</si>
  <si>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</si>
  <si>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 xml:space="preserve">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
В случае наличия нескольких форм таких договоров информация по каждой из них указывается в отдельной строке.</t>
  </si>
  <si>
    <t xml:space="preserve">Добавить описание формы договора</t>
  </si>
  <si>
    <t xml:space="preserve">наименование НПА</t>
  </si>
  <si>
    <t xml:space="preserve">контактный телефон службы</t>
  </si>
  <si>
    <t xml:space="preserve">адрес службы</t>
  </si>
  <si>
    <t xml:space="preserve">график работы службы</t>
  </si>
  <si>
    <t xml:space="preserve">c 01:03 до 18:55</t>
  </si>
  <si>
    <t xml:space="preserve">Информация о размещении данных на сайте регулируемой организации</t>
  </si>
  <si>
    <t xml:space="preserve">дата размещения информации</t>
  </si>
  <si>
    <t xml:space="preserve">Дата размещения информации указывается в виде «ДД.ММ.ГГГГ».</t>
  </si>
  <si>
    <t xml:space="preserve">адрес страницы сайта в сети «Интернет» и ссылка на документ</t>
  </si>
  <si>
    <t xml:space="preserve">В колонке «Информация» указывается адрес страницы сайта в сети «Интернет», на которой размещена информация.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</si>
  <si>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
В случае наличия дополнительных сведений информация по ним указывается в отдельных строках.
</t>
  </si>
  <si>
    <t xml:space="preserve">В колонке «Информация» указывается полное наименование и реквизиты НПА.
В случае наличия нескольких НПА каждое из них указывается в отдельной строке.</t>
  </si>
  <si>
    <t>5.1.1</t>
  </si>
  <si>
    <t xml:space="preserve">Указывается номер контактного телефона службы, ответственной за прием и обработку заявок о подключении к централизованной системе теплоснабжения. 
В случае наличия нескольких служб и (или) номеров телефонов, информация по каждому из них указывается в отдельной строке.</t>
  </si>
  <si>
    <t>5.2.1</t>
  </si>
  <si>
    <t xml:space="preserve">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
В случае наличия нескольких служб и (или) адресов, информация по каждому из них указывается в отдельной строке.</t>
  </si>
  <si>
    <t xml:space="preserve">Указывается график работы службы, ответственной за прием и обработку заявок о подключении к централизованной системе теплоснабжения. 
В случае наличия нескольких служб и (или) графиков работы, информация по каждому из них указывается в отдельной строке.</t>
  </si>
  <si>
    <t>p1</t>
  </si>
  <si>
    <t xml:space="preserve">Добавить период</t>
  </si>
  <si>
    <t>p2</t>
  </si>
  <si>
    <t xml:space="preserve">Период действия тарифов</t>
  </si>
  <si>
    <t>с</t>
  </si>
  <si>
    <t>по</t>
  </si>
  <si>
    <t>p1_0</t>
  </si>
  <si>
    <t xml:space="preserve">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</si>
  <si>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 xml:space="preserve">Необходимая валовая выручка на соответствующий период, в том числе с разбивкой по годам</t>
  </si>
  <si>
    <t>p2_0</t>
  </si>
  <si>
    <t xml:space="preserve">В колонке «Информация» указывается описательная информация, характеризующая размещаемые данные.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</si>
  <si>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 xml:space="preserve">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</si>
  <si>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 xml:space="preserve">Показатели надежности и качества, установленные в соответствии с законодательством Российской Федерации</t>
  </si>
  <si>
    <t xml:space="preserve">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
В случае, если показатели надежности и качества не утверждены в колонке «Информация» указывается «Не утверждены».
Информация в данной строке не указывается теплоснабжающими организациями, теплосетевыми организациями в ценовых зонах теплоснабжения.</t>
  </si>
  <si>
    <t xml:space="preserve">Информация в строках 3.1 – 3.3 указывается в случае, если организация имеет статус единой теплоснабжающей организации в ценовых зонах теплоснабжения.</t>
  </si>
  <si>
    <t xml:space="preserve">Доля числа исполненных в срок договоров о подключении</t>
  </si>
  <si>
    <t xml:space="preserve">Указывается процент общего количества заключенных договоров о подключении (технологическом присоединении).
Информация в данной строке не указывается теплоснабжающими организациями, теплосетевыми организациями в ценовых зонах теплоснабжения.</t>
  </si>
  <si>
    <t xml:space="preserve">Средняя продолжительность рассмотрения заявлений о подключении</t>
  </si>
  <si>
    <t>Гкал/час</t>
  </si>
  <si>
    <t xml:space="preserve">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</si>
  <si>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</si>
  <si>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</si>
  <si>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</si>
  <si>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</si>
  <si>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 xml:space="preserve">Месяц
(MONTH)</t>
  </si>
  <si>
    <t xml:space="preserve">Квартал
(QUARTER)</t>
  </si>
  <si>
    <t xml:space="preserve">Месяц
(kind_of_publication)</t>
  </si>
  <si>
    <t xml:space="preserve">НДС
/kind_of_NDS/</t>
  </si>
  <si>
    <t xml:space="preserve">Номер СЦХВ(СЦВО)
/SKI_number/</t>
  </si>
  <si>
    <t xml:space="preserve">Единица измерения объема оказываемых услуг ГВС
/kind_of_unit_GVS/</t>
  </si>
  <si>
    <t xml:space="preserve">Метод регулирования
/kind_of_control_method/</t>
  </si>
  <si>
    <t xml:space="preserve">Сколько раз встретилось</t>
  </si>
  <si>
    <t xml:space="preserve">Вид деятельности, на которую установлен тариф /kind_of_activity_WARM/</t>
  </si>
  <si>
    <t xml:space="preserve">Вид теплоносителя
(kind_of_heat_transfer)</t>
  </si>
  <si>
    <t xml:space="preserve">Тип данных
(kind_of_data_type)</t>
  </si>
  <si>
    <t xml:space="preserve">Схема подключения
(kind_of_scheme_in)
(kind_of_scheme_in2)</t>
  </si>
  <si>
    <t xml:space="preserve">Группы потребителей
(kind_of_cons)</t>
  </si>
  <si>
    <t xml:space="preserve">Тип прокладки тепловых сетей
(kind_of_nets)</t>
  </si>
  <si>
    <t xml:space="preserve">Диапазаны диаметров тепловых сетей
(kind_of_diameters)</t>
  </si>
  <si>
    <t xml:space="preserve">Подключаемая тепловая нагрузка
(kind_of_load)</t>
  </si>
  <si>
    <t xml:space="preserve">Форма 2, таблица Х</t>
  </si>
  <si>
    <t xml:space="preserve">виды тарифа
/kind_group_rates/</t>
  </si>
  <si>
    <t xml:space="preserve">Заголовок таблицы</t>
  </si>
  <si>
    <t>name_rates_4</t>
  </si>
  <si>
    <t>name_rates_8</t>
  </si>
  <si>
    <t xml:space="preserve">Подключаемая тепловая нагрузка
(kind_of_load3)</t>
  </si>
  <si>
    <t xml:space="preserve">Вид теплоносителя
(kind_of_heat_transfer2)</t>
  </si>
  <si>
    <t xml:space="preserve">Вид теплоносителя
(kind_of_heat_transfer3)</t>
  </si>
  <si>
    <t xml:space="preserve">Вид топлива
(kind_of_fuel)</t>
  </si>
  <si>
    <t xml:space="preserve">Способ закупки товаров
(kind_of_zak)</t>
  </si>
  <si>
    <t xml:space="preserve">виды тарифа
/kind_group_rates_load/</t>
  </si>
  <si>
    <t xml:space="preserve">виды тарифа
/kind_group_rates_load_filter/</t>
  </si>
  <si>
    <t xml:space="preserve">виды признаков дифференциации
/kind_of_diff/</t>
  </si>
  <si>
    <t xml:space="preserve">Диапазаны диаметров водопроводных сетей
(kind_of_diameters2)</t>
  </si>
  <si>
    <t>List_H</t>
  </si>
  <si>
    <t>List_M</t>
  </si>
  <si>
    <t>kind_of_org_type</t>
  </si>
  <si>
    <t xml:space="preserve">Виды топлива
/kind_of_fuels/</t>
  </si>
  <si>
    <t>YEAR_IP_LIST</t>
  </si>
  <si>
    <t>MONTH_IP_LIST</t>
  </si>
  <si>
    <t>COLDVSNA/HOTVSNA</t>
  </si>
  <si>
    <t>OTKO</t>
  </si>
  <si>
    <t xml:space="preserve">Алтайский край</t>
  </si>
  <si>
    <t>январь</t>
  </si>
  <si>
    <t xml:space="preserve">I квартал</t>
  </si>
  <si>
    <t xml:space="preserve">На официальном сайте организации</t>
  </si>
  <si>
    <t>тыс.куб.м/сутки</t>
  </si>
  <si>
    <t xml:space="preserve">метод экономически обоснованных расходов (затрат)</t>
  </si>
  <si>
    <t>Передача+Сбыт</t>
  </si>
  <si>
    <t>вода</t>
  </si>
  <si>
    <t xml:space="preserve">без дифференциации</t>
  </si>
  <si>
    <t>организации-перепродавцы</t>
  </si>
  <si>
    <t xml:space="preserve">надземная (наземная)</t>
  </si>
  <si>
    <t xml:space="preserve">50 - 250 мм</t>
  </si>
  <si>
    <t xml:space="preserve">не превышает 0,1 Гкал/ч</t>
  </si>
  <si>
    <t xml:space="preserve">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</si>
  <si>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 xml:space="preserve">Форма 4.2.1 Информация о величинах тарифов на тепловую энергию, поддержанию резервной тепловой мощности</t>
  </si>
  <si>
    <t xml:space="preserve">Тариф на теплоноситель, поставляемый потребителям</t>
  </si>
  <si>
    <t xml:space="preserve">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</si>
  <si>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</si>
  <si>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 xml:space="preserve">Газ природный по регулируемой цене</t>
  </si>
  <si>
    <t>Конкурс</t>
  </si>
  <si>
    <t xml:space="preserve">объемы потребления воды абонентами</t>
  </si>
  <si>
    <t xml:space="preserve">40 мм и менее</t>
  </si>
  <si>
    <t>00</t>
  </si>
  <si>
    <t xml:space="preserve">Регулируемая организация</t>
  </si>
  <si>
    <t xml:space="preserve">газ природный по регулируемой цене</t>
  </si>
  <si>
    <t xml:space="preserve">тыс м3</t>
  </si>
  <si>
    <t>Январь</t>
  </si>
  <si>
    <t xml:space="preserve">Амурская область</t>
  </si>
  <si>
    <t>февраль</t>
  </si>
  <si>
    <t xml:space="preserve">II квартал</t>
  </si>
  <si>
    <t xml:space="preserve">На сайте регулирующего органа</t>
  </si>
  <si>
    <t>УСН</t>
  </si>
  <si>
    <t xml:space="preserve">метод индексации установленных тарифов</t>
  </si>
  <si>
    <t>Передача</t>
  </si>
  <si>
    <t>пар</t>
  </si>
  <si>
    <t xml:space="preserve">изменения в раскрытой ранее информации</t>
  </si>
  <si>
    <t xml:space="preserve">к коллектору источника тепловой энергии</t>
  </si>
  <si>
    <t xml:space="preserve">бюджетные организации</t>
  </si>
  <si>
    <t xml:space="preserve">подземная (канальная)</t>
  </si>
  <si>
    <t xml:space="preserve">251 - 400 мм</t>
  </si>
  <si>
    <t xml:space="preserve">более 0,1 Гкал/ч и не превышает 1,5 Гкал/ч</t>
  </si>
  <si>
    <t xml:space="preserve">Тарифы на тепловую энергию (мощность), поставляемую другим теплоснабжающим организациям теплоснабжающими организациями</t>
  </si>
  <si>
    <t xml:space="preserve">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</si>
  <si>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 xml:space="preserve">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</si>
  <si>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 xml:space="preserve">Отборный пар, 1,2-2,5 кг/см2</t>
  </si>
  <si>
    <t>Пар</t>
  </si>
  <si>
    <t xml:space="preserve">Газ природный по нерегулируемой цене</t>
  </si>
  <si>
    <t>Аукцион</t>
  </si>
  <si>
    <t xml:space="preserve">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</si>
  <si>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 xml:space="preserve">соответствие качества питьевой воды и горячей воды требованиям, установленным санитарными нормами и правилами</t>
  </si>
  <si>
    <t xml:space="preserve">от 41 мм до 70 мм включительно</t>
  </si>
  <si>
    <t>01</t>
  </si>
  <si>
    <t xml:space="preserve">Единая теплоснабжающая организация в ценовой зоне теплоснабжения</t>
  </si>
  <si>
    <t xml:space="preserve">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</si>
  <si>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</si>
  <si>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</si>
  <si>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</si>
  <si>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</si>
  <si>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</si>
  <si>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</si>
  <si>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</si>
  <si>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</si>
  <si>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</si>
  <si>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 xml:space="preserve">Архангельская область</t>
  </si>
  <si>
    <t>март</t>
  </si>
  <si>
    <t>ЕСХН</t>
  </si>
  <si>
    <t>куб.м/ч</t>
  </si>
  <si>
    <t xml:space="preserve">метод обеспечения доходности инвестированного капитала</t>
  </si>
  <si>
    <t xml:space="preserve">производство комбинированная выработка</t>
  </si>
  <si>
    <t xml:space="preserve">отборный пар, 1.2-2.5 кг/см2</t>
  </si>
  <si>
    <t xml:space="preserve">к тепловой сети без дополнительного преобразования на тепловых пунктах, эксплуатируемых теплоснабжающей организацией</t>
  </si>
  <si>
    <t xml:space="preserve">население и приравненные категории</t>
  </si>
  <si>
    <t xml:space="preserve">подземная (бесканальная)</t>
  </si>
  <si>
    <t xml:space="preserve">401 - 550 мм</t>
  </si>
  <si>
    <t xml:space="preserve">превышает 1,5 Гкал/ч при наличии технической возможности подключения</t>
  </si>
  <si>
    <t xml:space="preserve">Предельный уровнь цены на тепловую энергию (мощность), поставляемую теплоснабжающими организациями потребителям</t>
  </si>
  <si>
    <t xml:space="preserve">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</si>
  <si>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 xml:space="preserve">Отборный пар, 2,5-7 кг/см2</t>
  </si>
  <si>
    <t>Уголь</t>
  </si>
  <si>
    <t xml:space="preserve">Аукцион в электронной форме</t>
  </si>
  <si>
    <t>иное</t>
  </si>
  <si>
    <t xml:space="preserve">от 71 мм до 100 мм включительно</t>
  </si>
  <si>
    <t>02</t>
  </si>
  <si>
    <t xml:space="preserve">Теплоснабжающая организация в ценовой зоне теплоснабжения</t>
  </si>
  <si>
    <t xml:space="preserve">газ сжиженный</t>
  </si>
  <si>
    <t>кг</t>
  </si>
  <si>
    <t>Март</t>
  </si>
  <si>
    <t xml:space="preserve">[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</si>
  <si>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</si>
  <si>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</si>
  <si>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</si>
  <si>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</si>
  <si>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</si>
  <si>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</si>
  <si>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</si>
  <si>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</si>
  <si>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 xml:space="preserve">Астраханская область</t>
  </si>
  <si>
    <t>апрель</t>
  </si>
  <si>
    <t xml:space="preserve">IV квартал</t>
  </si>
  <si>
    <t>ПСН</t>
  </si>
  <si>
    <t xml:space="preserve">метод сравнения аналогов</t>
  </si>
  <si>
    <t xml:space="preserve">производство (некомбинированная выработка)+передача+сбыт</t>
  </si>
  <si>
    <t xml:space="preserve">отборный пар, 2.5-7 кг/см2</t>
  </si>
  <si>
    <t xml:space="preserve">к тепловой сети после тепловых пунктов (на тепловых пунктах), эксплуатируемых теплоснабжающей организацией</t>
  </si>
  <si>
    <t>прочие</t>
  </si>
  <si>
    <t xml:space="preserve">551 - 700 мм</t>
  </si>
  <si>
    <t xml:space="preserve">превышает 1,5 Гкал/ч при отсутствии технической возможности подключения</t>
  </si>
  <si>
    <t xml:space="preserve">Форма 4.2.2 Информация о величинах тарифов на теплоноситель, передачу тепловой энергии, теплоносителя</t>
  </si>
  <si>
    <t xml:space="preserve">не известна</t>
  </si>
  <si>
    <t xml:space="preserve">Отборный пар, 7-13 кг/см2</t>
  </si>
  <si>
    <t>Мазут</t>
  </si>
  <si>
    <t xml:space="preserve">Запрос котировок</t>
  </si>
  <si>
    <t xml:space="preserve">от 101 мм до 150 мм включительно</t>
  </si>
  <si>
    <t>03</t>
  </si>
  <si>
    <t xml:space="preserve">Теплосетевая организация в ценовой зоне теплоснабжения</t>
  </si>
  <si>
    <t xml:space="preserve">газовый конденсат</t>
  </si>
  <si>
    <t>тонны</t>
  </si>
  <si>
    <t>Апрель</t>
  </si>
  <si>
    <t xml:space="preserve">  Прибыль направляемая на инвестиции</t>
  </si>
  <si>
    <t xml:space="preserve">  Нормативная прибыль</t>
  </si>
  <si>
    <t xml:space="preserve">Тариф на горячую воду в закрытой системе горячего водоснабжения (горячее водоснабжение)</t>
  </si>
  <si>
    <t xml:space="preserve">Тариф на подключение (технологическое присоединение) к централизованной системе водоотведения в индивидуальном порядке</t>
  </si>
  <si>
    <t xml:space="preserve">Белгородская область</t>
  </si>
  <si>
    <t>май</t>
  </si>
  <si>
    <t>НПД</t>
  </si>
  <si>
    <t xml:space="preserve">Вид тарифа на передачу тепловой энергии /kind_of_tariff_unit/</t>
  </si>
  <si>
    <t xml:space="preserve">производство (некомбинированная выработка)+передача</t>
  </si>
  <si>
    <t xml:space="preserve">отборный пар, 7-13 кг/см2</t>
  </si>
  <si>
    <t xml:space="preserve">701 мм и выше</t>
  </si>
  <si>
    <t xml:space="preserve">Форма 4.2.3 Информация о величинах тарифов на горячую воду (в открытых системах)</t>
  </si>
  <si>
    <t xml:space="preserve">Отборный пар, &gt; 13 кг/см2</t>
  </si>
  <si>
    <t xml:space="preserve">Дизельное топливо</t>
  </si>
  <si>
    <t xml:space="preserve">Единственный поставщик</t>
  </si>
  <si>
    <t xml:space="preserve">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</si>
  <si>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</si>
  <si>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</si>
  <si>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</si>
  <si>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</si>
  <si>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</si>
  <si>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</si>
  <si>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 xml:space="preserve">Тариф на подключение к централизованной системе водоотведения</t>
  </si>
  <si>
    <t xml:space="preserve">Брянская область</t>
  </si>
  <si>
    <t>июнь</t>
  </si>
  <si>
    <t xml:space="preserve">налогообложение казённых учреждений</t>
  </si>
  <si>
    <t>руб./Гкал/ч/мес</t>
  </si>
  <si>
    <t xml:space="preserve">производство (некомбинированная выработка)+сбыт</t>
  </si>
  <si>
    <t xml:space="preserve">отборный пар, &gt; 13 кг/см2</t>
  </si>
  <si>
    <t xml:space="preserve">Острый и редуцированный пар</t>
  </si>
  <si>
    <t>Дрова</t>
  </si>
  <si>
    <t>Иное</t>
  </si>
  <si>
    <t xml:space="preserve">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</si>
  <si>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</si>
  <si>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</si>
  <si>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</si>
  <si>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</si>
  <si>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</si>
  <si>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xml:space="preserve">[ Привлеченные средства ]</t>
  </si>
  <si>
    <t xml:space="preserve">Тариф на подключение к централизованной системе горячего водоснабжения</t>
  </si>
  <si>
    <t xml:space="preserve">Владимирская область</t>
  </si>
  <si>
    <t>июль</t>
  </si>
  <si>
    <t xml:space="preserve">смешанное налогообложение</t>
  </si>
  <si>
    <t>руб./Гкал</t>
  </si>
  <si>
    <t xml:space="preserve">производство (некомбинированная выработка)</t>
  </si>
  <si>
    <t xml:space="preserve">острый и редуцированный пар</t>
  </si>
  <si>
    <t>Электроэнергия</t>
  </si>
  <si>
    <t xml:space="preserve">от 250  мм и более</t>
  </si>
  <si>
    <t>06</t>
  </si>
  <si>
    <t xml:space="preserve">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</si>
  <si>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</si>
  <si>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</si>
  <si>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</si>
  <si>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</si>
  <si>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</si>
  <si>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 xml:space="preserve">Тариф на подключение (технологическое присоединение) к централизованной системе холодного водоснабжения в индивидуальном порядке</t>
  </si>
  <si>
    <t xml:space="preserve">Тариф на подключение к централизованной системе горячего водоснабжения (инд)</t>
  </si>
  <si>
    <t xml:space="preserve">Волгоградская область</t>
  </si>
  <si>
    <t>август</t>
  </si>
  <si>
    <t xml:space="preserve">НДС общий
/kind_of_NDS_tariff/</t>
  </si>
  <si>
    <t xml:space="preserve">НДС
/kind_of_NDS_tariff/</t>
  </si>
  <si>
    <t xml:space="preserve">горячая вода в системе централизованного теплоснабжения на отопление</t>
  </si>
  <si>
    <t>Прочее</t>
  </si>
  <si>
    <t xml:space="preserve">Плата за подключение к системе теплоснабжения</t>
  </si>
  <si>
    <t>07</t>
  </si>
  <si>
    <t xml:space="preserve">по группам мероприятий</t>
  </si>
  <si>
    <t xml:space="preserve">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</si>
  <si>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</si>
  <si>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</si>
  <si>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</si>
  <si>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</si>
  <si>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 xml:space="preserve">Вологодская область</t>
  </si>
  <si>
    <t>сентябрь</t>
  </si>
  <si>
    <t xml:space="preserve">тариф указан с НДС для плательщиков НДС</t>
  </si>
  <si>
    <t xml:space="preserve">тариф для организаций не являющихся плательщиками НДС</t>
  </si>
  <si>
    <t xml:space="preserve">Установленная электрическая мощность. Теплоэлектростанции. Ед.измерения  /kind_of_power_te_unit/</t>
  </si>
  <si>
    <t xml:space="preserve">цель инвестиционной программы /kind_of_purchase_method/</t>
  </si>
  <si>
    <t xml:space="preserve">горячая вода в системе централизованного теплоснабжения на горячее водоснабжение</t>
  </si>
  <si>
    <t xml:space="preserve">Плата за подключение к системе теплоснабжения (индивидуальная)</t>
  </si>
  <si>
    <t xml:space="preserve">Форма 4.2.5 Информация о плате за подключение к системе теплоснабжения в индивидуальном порядке</t>
  </si>
  <si>
    <t>08</t>
  </si>
  <si>
    <t xml:space="preserve">в целом на инвестиционную программу</t>
  </si>
  <si>
    <t xml:space="preserve">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</si>
  <si>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</si>
  <si>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</si>
  <si>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</si>
  <si>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</si>
  <si>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 xml:space="preserve">Воронежская область</t>
  </si>
  <si>
    <t>октябрь</t>
  </si>
  <si>
    <t xml:space="preserve">тариф указан без НДС для плательщиков НДС</t>
  </si>
  <si>
    <t xml:space="preserve">тариф не утверждался</t>
  </si>
  <si>
    <t>кВт*ч</t>
  </si>
  <si>
    <t>Торги/аукционы</t>
  </si>
  <si>
    <t>прочее</t>
  </si>
  <si>
    <t xml:space="preserve">Форма 4.2.4 Информация о величинах тарифов на подключение к системе теплоснабжения</t>
  </si>
  <si>
    <t>09</t>
  </si>
  <si>
    <t xml:space="preserve">по муниципальным образованиям/территориям</t>
  </si>
  <si>
    <t xml:space="preserve">уголь каменный</t>
  </si>
  <si>
    <t>Октябрь</t>
  </si>
  <si>
    <t xml:space="preserve">  [ Экономия расходов ]</t>
  </si>
  <si>
    <t xml:space="preserve">      Прочие займы</t>
  </si>
  <si>
    <t>г.Байконур</t>
  </si>
  <si>
    <t>ноябрь</t>
  </si>
  <si>
    <t>МВт</t>
  </si>
  <si>
    <t xml:space="preserve">Прямые договора без торгов</t>
  </si>
  <si>
    <t xml:space="preserve">Предельный уровнь цены на тепловую энергию (мощность), поставляемую теплоснабжающими организациями потребителям. Индикативы</t>
  </si>
  <si>
    <t xml:space="preserve">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</si>
  <si>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</si>
  <si>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</si>
  <si>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</si>
  <si>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</si>
  <si>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xml:space="preserve">[ Бюджетное финансирование ]</t>
  </si>
  <si>
    <t xml:space="preserve">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</si>
  <si>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</si>
  <si>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</si>
  <si>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</si>
  <si>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</si>
  <si>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</si>
  <si>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</si>
  <si>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</si>
  <si>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 xml:space="preserve">Объём приобретаемой тепловой энергии (мощности), используемой для горячего водоснабжения. Ед.измерения  /kind_of_volume_te_unit/</t>
  </si>
  <si>
    <t xml:space="preserve">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</si>
  <si>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</si>
  <si>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</si>
  <si>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</si>
  <si>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</si>
  <si>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</si>
  <si>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</si>
  <si>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 xml:space="preserve">НДС общий люди
/kind_of_NDS_tariff_people/</t>
  </si>
  <si>
    <t xml:space="preserve">НДС
/kind_of_NDS_tariff_people/</t>
  </si>
  <si>
    <t xml:space="preserve">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</si>
  <si>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 xml:space="preserve">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</si>
  <si>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</si>
  <si>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</si>
  <si>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 xml:space="preserve">Донецкая Народная Республика</t>
  </si>
  <si>
    <t>START_FILL</t>
  </si>
  <si>
    <t xml:space="preserve">тариф с НДС организаций-плательщиков НДС</t>
  </si>
  <si>
    <t xml:space="preserve">тариф организаций не являющихся плательщиками НДС</t>
  </si>
  <si>
    <t>15</t>
  </si>
  <si>
    <t xml:space="preserve">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</si>
  <si>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 xml:space="preserve">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</si>
  <si>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</si>
  <si>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xml:space="preserve">[ Прочие источники финансирования ]</t>
  </si>
  <si>
    <t xml:space="preserve">Еврейская автономная область</t>
  </si>
  <si>
    <t>16</t>
  </si>
  <si>
    <t xml:space="preserve">производство тепловой энергии (мощности) не в режиме комбинированной выработки электрической и тепловой энергии источниками тепловой энергии</t>
  </si>
  <si>
    <t xml:space="preserve">по мероприятиям и группам мероприятий</t>
  </si>
  <si>
    <t xml:space="preserve">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</si>
  <si>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</si>
  <si>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</si>
  <si>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</si>
  <si>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</si>
  <si>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</si>
  <si>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</si>
  <si>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 xml:space="preserve">Забайкальский край</t>
  </si>
  <si>
    <t xml:space="preserve">Тарифы на тепло для REQUEST.HEAT
/kind_of_tariff_RHEAT/</t>
  </si>
  <si>
    <t>17</t>
  </si>
  <si>
    <t xml:space="preserve">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</si>
  <si>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</si>
  <si>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</si>
  <si>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</si>
  <si>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</si>
  <si>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</si>
  <si>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</si>
  <si>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</si>
  <si>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</si>
  <si>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</si>
  <si>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</si>
  <si>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</si>
  <si>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 xml:space="preserve">Запорожская область</t>
  </si>
  <si>
    <t>18</t>
  </si>
  <si>
    <t xml:space="preserve">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</si>
  <si>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</si>
  <si>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</si>
  <si>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</si>
  <si>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</si>
  <si>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 xml:space="preserve">Производство тепловой энергии. Некомбинированная выработка</t>
  </si>
  <si>
    <t xml:space="preserve">Холодное водоснабжение. Питьевая вода</t>
  </si>
  <si>
    <t xml:space="preserve">Горячее водоснабжение</t>
  </si>
  <si>
    <t>Водоотведение</t>
  </si>
  <si>
    <t xml:space="preserve">Захоронение твердых коммунальных отходов</t>
  </si>
  <si>
    <t xml:space="preserve">Ивановская область</t>
  </si>
  <si>
    <t>19</t>
  </si>
  <si>
    <t xml:space="preserve">сбыт тепловой энергии и теплоносителя</t>
  </si>
  <si>
    <t xml:space="preserve">уменьшение удельных затрат (повышение КПД)</t>
  </si>
  <si>
    <t>щепа</t>
  </si>
  <si>
    <t xml:space="preserve">Производство тепловой энергии. Комбинированная выработка с уст. мощностью производства электрической энергии менее 25 МВт</t>
  </si>
  <si>
    <t xml:space="preserve">Холодное водоснабжение. Техническая вода</t>
  </si>
  <si>
    <t>Транспортировка</t>
  </si>
  <si>
    <t xml:space="preserve">Обезвреживание твердых коммунальных отходов</t>
  </si>
  <si>
    <t xml:space="preserve">Иркутская область</t>
  </si>
  <si>
    <t>20</t>
  </si>
  <si>
    <t xml:space="preserve">подключение к системе теплоснабжения</t>
  </si>
  <si>
    <t xml:space="preserve">автоматизация (с уменьшением штата)</t>
  </si>
  <si>
    <t xml:space="preserve">горючий сланец</t>
  </si>
  <si>
    <t xml:space="preserve">Производство тепловой энергии. Комбинированная выработка с уст. мощностью производства электрической энергии 25 МВт и более</t>
  </si>
  <si>
    <t xml:space="preserve">Холодное водоснабжение. Подвозная вода</t>
  </si>
  <si>
    <t xml:space="preserve">Подключение (технологическое присоединение) к централизованной системе горячего водоснабжения</t>
  </si>
  <si>
    <t xml:space="preserve">Подключение (технологическое присоединение) к централизованной системе водоотведения</t>
  </si>
  <si>
    <t xml:space="preserve">Обработка твердых коммунальных отходов</t>
  </si>
  <si>
    <t xml:space="preserve">Кабардино-Балкарская республика</t>
  </si>
  <si>
    <t xml:space="preserve">поддержание резервной тепловой мощности при отсутствии потребления тепловой энергии</t>
  </si>
  <si>
    <t xml:space="preserve">уменьшение издержек на производство</t>
  </si>
  <si>
    <t>керосин</t>
  </si>
  <si>
    <t xml:space="preserve">Производство. Теплоноситель</t>
  </si>
  <si>
    <t xml:space="preserve">Транспортировка. Питьевая вода</t>
  </si>
  <si>
    <t xml:space="preserve">Калининградская область</t>
  </si>
  <si>
    <t>21</t>
  </si>
  <si>
    <t xml:space="preserve">снижение аварийности</t>
  </si>
  <si>
    <t xml:space="preserve">кислородно-водородная смесь</t>
  </si>
  <si>
    <t xml:space="preserve">Передача. Тепловая энергия</t>
  </si>
  <si>
    <t xml:space="preserve">Транспортировка. Техническая вода</t>
  </si>
  <si>
    <t xml:space="preserve">Энергетическая утилизация</t>
  </si>
  <si>
    <t xml:space="preserve">Калужская область</t>
  </si>
  <si>
    <t>22</t>
  </si>
  <si>
    <t xml:space="preserve">улучшение качества</t>
  </si>
  <si>
    <t xml:space="preserve">электроэнергия (НН)</t>
  </si>
  <si>
    <t xml:space="preserve">тыс кВт.ч</t>
  </si>
  <si>
    <t xml:space="preserve">Передача. Теплоноситель</t>
  </si>
  <si>
    <t xml:space="preserve">Транспортировка. Подвозная вода</t>
  </si>
  <si>
    <t xml:space="preserve">Транспортирование твердых коммунальных отходов</t>
  </si>
  <si>
    <t xml:space="preserve">Камчатский край</t>
  </si>
  <si>
    <t>23</t>
  </si>
  <si>
    <t xml:space="preserve">повышение надёжности и энергетической эффективности</t>
  </si>
  <si>
    <t xml:space="preserve">электроэнергия (СН1)</t>
  </si>
  <si>
    <t xml:space="preserve">Сбыт. Тепловая энергия</t>
  </si>
  <si>
    <t xml:space="preserve">Подключение (технологическое присоединение) к централизованной системе водоснабжения</t>
  </si>
  <si>
    <t xml:space="preserve">Карачаево-Черкесская республика</t>
  </si>
  <si>
    <t>CROSSES</t>
  </si>
  <si>
    <t>24</t>
  </si>
  <si>
    <t xml:space="preserve">электроэнергия (СН2)</t>
  </si>
  <si>
    <t xml:space="preserve">Сбыт. Теплоноситель</t>
  </si>
  <si>
    <t xml:space="preserve">Кемеровская область</t>
  </si>
  <si>
    <t>25</t>
  </si>
  <si>
    <t xml:space="preserve">электроэнергия (ВН)</t>
  </si>
  <si>
    <t xml:space="preserve">Подключение (технологическое присоединение) к системе теплоснабжения</t>
  </si>
  <si>
    <t xml:space="preserve">Кировская область</t>
  </si>
  <si>
    <t xml:space="preserve">Текущая дата</t>
  </si>
  <si>
    <t>26</t>
  </si>
  <si>
    <t>PT_GROUP_CONSUMER_LIST</t>
  </si>
  <si>
    <t>мощность</t>
  </si>
  <si>
    <t xml:space="preserve">тыс кВт</t>
  </si>
  <si>
    <t xml:space="preserve">Поддержание резервной тепловой мощности при отсутствии потребления тепловой энергии</t>
  </si>
  <si>
    <t xml:space="preserve">Костромская область</t>
  </si>
  <si>
    <t>Организация</t>
  </si>
  <si>
    <t xml:space="preserve">25.07.2023 22:51:32</t>
  </si>
  <si>
    <t>27</t>
  </si>
  <si>
    <t xml:space="preserve">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</si>
  <si>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</si>
  <si>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</si>
  <si>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 xml:space="preserve">Красноярский край</t>
  </si>
  <si>
    <t>29</t>
  </si>
  <si>
    <t>население</t>
  </si>
  <si>
    <t xml:space="preserve">  Иные бюджетные средства</t>
  </si>
  <si>
    <t xml:space="preserve">Курганская область</t>
  </si>
  <si>
    <t xml:space="preserve">Виды деятельности</t>
  </si>
  <si>
    <t>https://appsrv.regportal-tariff.ru/procwsxls/</t>
  </si>
  <si>
    <t>30</t>
  </si>
  <si>
    <t xml:space="preserve">Курская область</t>
  </si>
  <si>
    <t>31</t>
  </si>
  <si>
    <t xml:space="preserve">Ленинградская область</t>
  </si>
  <si>
    <t>32</t>
  </si>
  <si>
    <t xml:space="preserve">Липецкая область</t>
  </si>
  <si>
    <t>33</t>
  </si>
  <si>
    <t>PT_SCHEME_LIST</t>
  </si>
  <si>
    <t xml:space="preserve">  Доход от взимания платы за нарушение нормативов по объему и (или) составу сточных вод</t>
  </si>
  <si>
    <t xml:space="preserve">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</si>
  <si>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</si>
  <si>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</si>
  <si>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</si>
  <si>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 xml:space="preserve">Магаданская область</t>
  </si>
  <si>
    <t>теплоснабжения</t>
  </si>
  <si>
    <t>теплоснабжение</t>
  </si>
  <si>
    <t>35</t>
  </si>
  <si>
    <t xml:space="preserve">Московская область</t>
  </si>
  <si>
    <t xml:space="preserve">холодного водоснабжения</t>
  </si>
  <si>
    <t xml:space="preserve">холодное водоснабжение</t>
  </si>
  <si>
    <t>36</t>
  </si>
  <si>
    <t>HEAT_FIN_SRC_VLD_LIST</t>
  </si>
  <si>
    <t>VSNA_FIN_SRC_VLD_LIST</t>
  </si>
  <si>
    <t>VOTV_FIN_SRC_VLD_LIST</t>
  </si>
  <si>
    <t>OTKO_FIN_SRC_VLD_LIST</t>
  </si>
  <si>
    <t xml:space="preserve">Мурманская область</t>
  </si>
  <si>
    <t>водоотведения</t>
  </si>
  <si>
    <t>водоотведение</t>
  </si>
  <si>
    <t>37</t>
  </si>
  <si>
    <t xml:space="preserve">Прибыль направляемая на инвестиции</t>
  </si>
  <si>
    <t xml:space="preserve">Нормативная прибыль</t>
  </si>
  <si>
    <t xml:space="preserve">Ненецкий автономный округ</t>
  </si>
  <si>
    <t xml:space="preserve">горячего водоснабжения</t>
  </si>
  <si>
    <t xml:space="preserve">горячее водоснабжение</t>
  </si>
  <si>
    <t>38</t>
  </si>
  <si>
    <t xml:space="preserve">Амортизационные отчисления с выделением результатов переоценки основных средств и нематериальных активов</t>
  </si>
  <si>
    <t xml:space="preserve">Нижегородская область</t>
  </si>
  <si>
    <t xml:space="preserve">обращения с твердыми коммунальными отходами</t>
  </si>
  <si>
    <t>TKO</t>
  </si>
  <si>
    <t>39</t>
  </si>
  <si>
    <t>PT_TN_LIST</t>
  </si>
  <si>
    <t xml:space="preserve">Прочие амортизационные отчисления</t>
  </si>
  <si>
    <t xml:space="preserve">Новгородская область</t>
  </si>
  <si>
    <t>40</t>
  </si>
  <si>
    <t xml:space="preserve">Займы, предоставленные Фондом ЖКХ за счет средств ФНБ</t>
  </si>
  <si>
    <t xml:space="preserve">Новосибирская область</t>
  </si>
  <si>
    <t>41</t>
  </si>
  <si>
    <t xml:space="preserve">За счет платы за технологическое присоединение</t>
  </si>
  <si>
    <t xml:space="preserve">Прочие займы</t>
  </si>
  <si>
    <t xml:space="preserve">Омская область</t>
  </si>
  <si>
    <t>PeriodIsEmpty</t>
  </si>
  <si>
    <t>NameTemplatesInTitle</t>
  </si>
  <si>
    <t>NameTemplatesInListMO</t>
  </si>
  <si>
    <t>42</t>
  </si>
  <si>
    <t xml:space="preserve">Экономия расходов в результате реализации мероприятий инвестиционной программы</t>
  </si>
  <si>
    <t xml:space="preserve">Федеральный бюджет</t>
  </si>
  <si>
    <t xml:space="preserve">Оренбургская область</t>
  </si>
  <si>
    <t>TEMPLATE_GROUP</t>
  </si>
  <si>
    <t>Q</t>
  </si>
  <si>
    <t>CodeTemplate</t>
  </si>
  <si>
    <t>StartDate</t>
  </si>
  <si>
    <t>EndDate</t>
  </si>
  <si>
    <t>43</t>
  </si>
  <si>
    <t xml:space="preserve">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</si>
  <si>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Бюджет субъекта РФ</t>
  </si>
  <si>
    <t xml:space="preserve">Орловская область</t>
  </si>
  <si>
    <t>O</t>
  </si>
  <si>
    <t>44</t>
  </si>
  <si>
    <t xml:space="preserve">Бюджет муниципального образования</t>
  </si>
  <si>
    <t xml:space="preserve">Пензенская область</t>
  </si>
  <si>
    <t>45</t>
  </si>
  <si>
    <t>Лизинг</t>
  </si>
  <si>
    <t xml:space="preserve">Пермский край</t>
  </si>
  <si>
    <t>BALANCE</t>
  </si>
  <si>
    <t>B</t>
  </si>
  <si>
    <t xml:space="preserve">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</si>
  <si>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</si>
  <si>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</si>
  <si>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 xml:space="preserve">Приморский край</t>
  </si>
  <si>
    <t>TERMS</t>
  </si>
  <si>
    <t>T</t>
  </si>
  <si>
    <t>47</t>
  </si>
  <si>
    <t xml:space="preserve">Псковская область</t>
  </si>
  <si>
    <t>INVEST</t>
  </si>
  <si>
    <t>48</t>
  </si>
  <si>
    <t xml:space="preserve">Республика Адыгея</t>
  </si>
  <si>
    <t>REQUEST</t>
  </si>
  <si>
    <t>R</t>
  </si>
  <si>
    <t>49</t>
  </si>
  <si>
    <t xml:space="preserve">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</si>
  <si>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 xml:space="preserve">Республика Алтай</t>
  </si>
  <si>
    <t>PRICE</t>
  </si>
  <si>
    <t>P</t>
  </si>
  <si>
    <t>50</t>
  </si>
  <si>
    <t xml:space="preserve">Республика Башкортостан</t>
  </si>
  <si>
    <t>ROIV</t>
  </si>
  <si>
    <t xml:space="preserve">Показатели, подлежащие раскрытию органами регулирования</t>
  </si>
  <si>
    <t>51</t>
  </si>
  <si>
    <t xml:space="preserve">Республика Бурятия</t>
  </si>
  <si>
    <t>52</t>
  </si>
  <si>
    <t>PT_NETS_LIST</t>
  </si>
  <si>
    <t xml:space="preserve">Республика Дагестан</t>
  </si>
  <si>
    <t>53</t>
  </si>
  <si>
    <t xml:space="preserve">Республика Ингушетия</t>
  </si>
  <si>
    <t>TERRITORY_ID</t>
  </si>
  <si>
    <t xml:space="preserve">начинать только с 2, остальное по умолчанию</t>
  </si>
  <si>
    <t>54</t>
  </si>
  <si>
    <t xml:space="preserve">Республика Калмыкия</t>
  </si>
  <si>
    <t>DIFFERENTIATION_ID</t>
  </si>
  <si>
    <t>55</t>
  </si>
  <si>
    <t xml:space="preserve">Республика Карелия</t>
  </si>
  <si>
    <t>IP_ID</t>
  </si>
  <si>
    <t>56</t>
  </si>
  <si>
    <t xml:space="preserve">Республика Коми</t>
  </si>
  <si>
    <t xml:space="preserve">начинать только с 30, остальное по умолчанию</t>
  </si>
  <si>
    <t>57</t>
  </si>
  <si>
    <t>PT_DIAMETERS_LIST</t>
  </si>
  <si>
    <t xml:space="preserve">Республика Крым</t>
  </si>
  <si>
    <t>VDET_ID</t>
  </si>
  <si>
    <t>58</t>
  </si>
  <si>
    <t xml:space="preserve">Республика Марий Эл</t>
  </si>
  <si>
    <t>NTAR_ID</t>
  </si>
  <si>
    <t>59</t>
  </si>
  <si>
    <t xml:space="preserve">Республика Мордовия</t>
  </si>
  <si>
    <t xml:space="preserve">Республика Саха (Якутия)</t>
  </si>
  <si>
    <t>CS_ID</t>
  </si>
  <si>
    <t xml:space="preserve">Республика Северная Осетия-Алания</t>
  </si>
  <si>
    <t>IST_TE_ID</t>
  </si>
  <si>
    <t xml:space="preserve">Республика Татарстан</t>
  </si>
  <si>
    <t xml:space="preserve">Республика Тыва</t>
  </si>
  <si>
    <t>PT_LOAD_LIST</t>
  </si>
  <si>
    <t xml:space="preserve">Республика Хакасия</t>
  </si>
  <si>
    <t xml:space="preserve">Ростовская область</t>
  </si>
  <si>
    <t>HEAT_IP_EVENT_GROUP_LIST</t>
  </si>
  <si>
    <t>VSNA_IP_EVENT_GROUP_LIST</t>
  </si>
  <si>
    <t>VOTV_IP_EVENT_GROUP_LIST</t>
  </si>
  <si>
    <t>OTKO_IP_EVENT_GROUP_LIST</t>
  </si>
  <si>
    <t xml:space="preserve">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</si>
  <si>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 xml:space="preserve">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</si>
  <si>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 xml:space="preserve">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</si>
  <si>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 xml:space="preserve">Мероприятия инвестиционной программы в части накопления твердых коммунальных отходов</t>
  </si>
  <si>
    <t xml:space="preserve">Самарская область</t>
  </si>
  <si>
    <t xml:space="preserve">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</si>
  <si>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 xml:space="preserve">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</si>
  <si>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 xml:space="preserve">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</si>
  <si>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 xml:space="preserve">Мероприятия инвестиционной программы в части обработки твердых коммунальных отходов</t>
  </si>
  <si>
    <t xml:space="preserve">Саратовская область</t>
  </si>
  <si>
    <t xml:space="preserve">Реконструкция или модернизация существующих объектов теплоснабжения в целях снижения уровня износа существующих объектов теплоснабжения</t>
  </si>
  <si>
    <t xml:space="preserve">Реконструкция или модернизация существующих объектов водоснабжения в целях снижения уровня износа существующих объектов водоснабжения</t>
  </si>
  <si>
    <t xml:space="preserve">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</si>
  <si>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 xml:space="preserve">Мероприятия инвестиционной программы в части утилизации твердых коммунальных отходов</t>
  </si>
  <si>
    <t xml:space="preserve">Сахалинская область</t>
  </si>
  <si>
    <t xml:space="preserve">Мероприятия, направленные на повышение экологической эффективности</t>
  </si>
  <si>
    <t xml:space="preserve">Мероприятия инвестиционной программы в части обезвреживания твердых коммунальных отходов</t>
  </si>
  <si>
    <t xml:space="preserve">Свердловская область</t>
  </si>
  <si>
    <t xml:space="preserve">Вывод из эксплуатации, консервации и демонтаж объектов теплоснабжения</t>
  </si>
  <si>
    <t xml:space="preserve">Вывод из эксплуатации, консервация и демонтаж объектов водоснабжения</t>
  </si>
  <si>
    <t xml:space="preserve">Вывод из эксплуатации, консервация и демонтаж объектов водоотведения и очистки сточных вод</t>
  </si>
  <si>
    <t xml:space="preserve">Мероприятия инвестиционной программы в части хранения твердых коммунальных отходов</t>
  </si>
  <si>
    <t xml:space="preserve">Смоленская область</t>
  </si>
  <si>
    <t xml:space="preserve">Мероприятия, направленные на повышение энергоэффективности в сфере теплоснабжения</t>
  </si>
  <si>
    <t xml:space="preserve">Мероприятия, направленные на повышение энергоэффективности в сфере водоснабжения</t>
  </si>
  <si>
    <t xml:space="preserve">Мероприятия, направленные на повышение энергоэффективности в сфере водоотведения и очистки сточных вод</t>
  </si>
  <si>
    <t xml:space="preserve">Мероприятия инвестиционной программы в части захоронения твердых коммунальных отходов</t>
  </si>
  <si>
    <t xml:space="preserve">Ставропольский край</t>
  </si>
  <si>
    <t>PT_DIAMETERS_2_LIST</t>
  </si>
  <si>
    <t xml:space="preserve">Мероприятия по подготовке проектной документации</t>
  </si>
  <si>
    <t xml:space="preserve">Тамбовская область</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</si>
  <si>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</si>
  <si>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</si>
  <si>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
</t>
  </si>
  <si>
    <t xml:space="preserve">Тверская область</t>
  </si>
  <si>
    <t xml:space="preserve">Томская область</t>
  </si>
  <si>
    <t xml:space="preserve">Тульская область</t>
  </si>
  <si>
    <t>HEAT_IP_EVENT_SUBGROUP_1_LIST</t>
  </si>
  <si>
    <t>VSNA_IP_EVENT_SUBGROUP_1_LIST</t>
  </si>
  <si>
    <t>VOTV_IP_EVENT_SUBGROUP_1_LIST</t>
  </si>
  <si>
    <t xml:space="preserve">Тюменская область</t>
  </si>
  <si>
    <t xml:space="preserve">строительство новых тепловых сетей в целях подключения потребителей</t>
  </si>
  <si>
    <t xml:space="preserve">строительство новых сетей водоснабжения в целях подключения потребителей</t>
  </si>
  <si>
    <t xml:space="preserve">строительство новых сетей водоотведения и очистки сточных вод в целях подключения потребителей</t>
  </si>
  <si>
    <t xml:space="preserve">Удмуртская республика</t>
  </si>
  <si>
    <t xml:space="preserve">строительство иных объектов теплоснабжения за исключением тепловых сетей в целях подключения потребителей</t>
  </si>
  <si>
    <t xml:space="preserve">строительство иных объектов водоснабжения, за исключением сетей водоснабжения в целях подключения потребителей</t>
  </si>
  <si>
    <t xml:space="preserve">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</si>
  <si>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 xml:space="preserve">Ульяновская область</t>
  </si>
  <si>
    <t xml:space="preserve">увеличение пропускной способности существующих тепловых сетей в целях подключения потребителей</t>
  </si>
  <si>
    <t xml:space="preserve">увеличение пропускной способности существующих сетей водоснабжения в целях подключения потребителей</t>
  </si>
  <si>
    <t xml:space="preserve">увеличение пропускной способности существующих сетей водоотведения и очистки сточных вод в целях подключения потребителей</t>
  </si>
  <si>
    <t xml:space="preserve">Хабаровский край</t>
  </si>
  <si>
    <t xml:space="preserve">увеличение мощности и производительности существующих объектов теплоснабжения за исключением тепловых сетей в целях подключения потребителей</t>
  </si>
  <si>
    <t xml:space="preserve">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</si>
  <si>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 xml:space="preserve">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</si>
  <si>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 xml:space="preserve">Ханты-Мансийский автономный округ</t>
  </si>
  <si>
    <t>TYPE_TKO_LIST</t>
  </si>
  <si>
    <t xml:space="preserve">Херсонская область</t>
  </si>
  <si>
    <t>несортированные</t>
  </si>
  <si>
    <t xml:space="preserve">Челябинская область</t>
  </si>
  <si>
    <t>сортированные</t>
  </si>
  <si>
    <t>HEAT_IP_EVENT_SUBGROUP_3_LIST</t>
  </si>
  <si>
    <t>VSNA_IP_EVENT_SUBGROUP_3_LIST</t>
  </si>
  <si>
    <t>VOTV_IP_EVENT_SUBGROUP_3_LIST</t>
  </si>
  <si>
    <t xml:space="preserve">Чеченская республика</t>
  </si>
  <si>
    <t>крупногабаритные</t>
  </si>
  <si>
    <t xml:space="preserve">реконструкция или модернизация существующих тепловых сетей</t>
  </si>
  <si>
    <t xml:space="preserve">реконструкция или модернизация существующих сетей водоснабжения</t>
  </si>
  <si>
    <t xml:space="preserve">реконструкция или модернизация существующих сетей водоотведения и очистки сточных вод</t>
  </si>
  <si>
    <t xml:space="preserve">Чувашская республика</t>
  </si>
  <si>
    <t xml:space="preserve">реконструкция или модернизация существующих объектов теплоснабжения, за исключением тепловых сетей</t>
  </si>
  <si>
    <t xml:space="preserve">реконструкция или модернизация существующих объектов водоснабжения, за исключением сетей водоснабжения</t>
  </si>
  <si>
    <t xml:space="preserve">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</si>
  <si>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 xml:space="preserve">Чукотский автономный округ</t>
  </si>
  <si>
    <t>CLASS_TKO_LIST</t>
  </si>
  <si>
    <t xml:space="preserve">Ямало-Ненецкий автономный округ</t>
  </si>
  <si>
    <t xml:space="preserve">Ярославская область</t>
  </si>
  <si>
    <t>HEAT_IP_EVENT_SUBGROUP_5_LIST</t>
  </si>
  <si>
    <t>VSNA_IP_EVENT_SUBGROUP_5_LIST</t>
  </si>
  <si>
    <t>VOTV_IP_EVENT_SUBGROUP_5_LIST</t>
  </si>
  <si>
    <t>III</t>
  </si>
  <si>
    <t xml:space="preserve">вывод из эксплуатации, консервация и демонтаж тепловых сетей</t>
  </si>
  <si>
    <t xml:space="preserve">вывод из эксплуатации, консервация и демонтаж сетей водоснабжения</t>
  </si>
  <si>
    <t xml:space="preserve">вывод из эксплуатации, консервация и демонтаж сетей водоотведения и очистки сточных вод</t>
  </si>
  <si>
    <t>IV</t>
  </si>
  <si>
    <t xml:space="preserve">вывод из эксплуатации, консервация и демонтаж иных объектов теплоснабжения, за исключением тепловых сетей</t>
  </si>
  <si>
    <t xml:space="preserve">вывод из эксплуатации, консервация и демонтаж иных объектов водоснабжения, за исключением сетей водоснабжения</t>
  </si>
  <si>
    <t xml:space="preserve">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</si>
  <si>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</si>
  <si>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</si>
  <si>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</si>
  <si>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</si>
  <si>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</si>
  <si>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</si>
  <si>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 xml:space="preserve">информация об органе регулирования и перечень организаций</t>
  </si>
  <si>
    <t xml:space="preserve">в течение 30 дней со дня изменения такой информации</t>
  </si>
  <si>
    <t xml:space="preserve">производство тепловой энергии</t>
  </si>
  <si>
    <t xml:space="preserve">на забор и подъём воды</t>
  </si>
  <si>
    <t xml:space="preserve">на транспортировку сточных вод</t>
  </si>
  <si>
    <t>сбор</t>
  </si>
  <si>
    <t xml:space="preserve">доклад о результатах правоприменительной практики</t>
  </si>
  <si>
    <t xml:space="preserve">не позднее 3 дней со дня утверждения доклада</t>
  </si>
  <si>
    <t xml:space="preserve">передача теплоэнергии по региональным тепловым сетям</t>
  </si>
  <si>
    <t xml:space="preserve">на водоподготовку</t>
  </si>
  <si>
    <t xml:space="preserve">очистка сточных вод</t>
  </si>
  <si>
    <t>накопление</t>
  </si>
  <si>
    <t xml:space="preserve">дата, время и место проведения заседания об установлении тарифов</t>
  </si>
  <si>
    <t xml:space="preserve">прочие объекты и мероприятия, относимые к регулируемому виду деятельности</t>
  </si>
  <si>
    <t xml:space="preserve">на транспортировку воды</t>
  </si>
  <si>
    <t xml:space="preserve">обращение с осадком сточных вод</t>
  </si>
  <si>
    <t>транспортирование</t>
  </si>
  <si>
    <t xml:space="preserve">информация о принятых решениях об установлении тарифов</t>
  </si>
  <si>
    <t>обработка</t>
  </si>
  <si>
    <t xml:space="preserve">информация о принятых решениях об утверждении предельного уровня цены на тепловую энергию (мощность)</t>
  </si>
  <si>
    <t xml:space="preserve">в течение 10 дней со дня принятия соответствующего решения</t>
  </si>
  <si>
    <t>утилизация</t>
  </si>
  <si>
    <t xml:space="preserve">протокол заседания правления</t>
  </si>
  <si>
    <t>обезвреживание</t>
  </si>
  <si>
    <t xml:space="preserve">информация о привлечении к ответственности</t>
  </si>
  <si>
    <t xml:space="preserve">до 30 апреля года, следующего за отчётным годом</t>
  </si>
  <si>
    <t xml:space="preserve">размещение отходов</t>
  </si>
  <si>
    <t xml:space="preserve">энергетическая утилизация</t>
  </si>
  <si>
    <t>UNIT_CONNECT_LIST</t>
  </si>
  <si>
    <t>тыс.руб./Гкал/ч</t>
  </si>
  <si>
    <t>тыс.руб.</t>
  </si>
  <si>
    <t>WARM_IP_EVENT_TYPE_LIST</t>
  </si>
  <si>
    <t>VSNA_IP_EVENT_TYPE_LIST</t>
  </si>
  <si>
    <t>VOTV_IP_EVENT_TYPE_LIST</t>
  </si>
  <si>
    <t>OTKO_IP_EVENT_TYPE_LIST</t>
  </si>
  <si>
    <t xml:space="preserve">Производство тепловой энергии</t>
  </si>
  <si>
    <t>Водоснабжение</t>
  </si>
  <si>
    <t xml:space="preserve">Обращение с твердыми коммунальными отходами</t>
  </si>
  <si>
    <t xml:space="preserve">Прочие объекты и мероприятия, относимые к регулируемому виду деятельности</t>
  </si>
  <si>
    <t>ROIV_INFO_LIST_NO_HEAT</t>
  </si>
  <si>
    <t>HEAT_PT_SCHEME</t>
  </si>
  <si>
    <t xml:space="preserve">Фамилия, имя и отчество (при наличии) руководителя:</t>
  </si>
  <si>
    <t>фамилия</t>
  </si>
  <si>
    <t xml:space="preserve">Указывается фамилия руководителя в соответствии с паспортными данными физического лица.</t>
  </si>
  <si>
    <t>имя</t>
  </si>
  <si>
    <t xml:space="preserve">Указывается имя руководителя в соответствии с паспортными данными физического лица.</t>
  </si>
  <si>
    <t xml:space="preserve">отчество (при наличии)</t>
  </si>
  <si>
    <t xml:space="preserve">Указывается отчество руководителя в соответствии с паспортными данными физического лица (при наличии).</t>
  </si>
  <si>
    <t xml:space="preserve">Почтовый адрес </t>
  </si>
  <si>
    <t xml:space="preserve">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t>
  </si>
  <si>
    <t xml:space="preserve">Адрес места нахождения </t>
  </si>
  <si>
    <t xml:space="preserve">Справочные телефоны</t>
  </si>
  <si>
    <t xml:space="preserve">Указывается номер контактного телефона. В случае наличия нескольких номеров телефонов, информация по каждому из них указывается в отдельной строке.</t>
  </si>
  <si>
    <t xml:space="preserve">Адрес официального сайта органа регулирования тарифов в сети "Интернет"</t>
  </si>
  <si>
    <t xml:space="preserve">Указывается адрес официального сайта в сети "Интернет". В случае отсутствия официального сайта в сети "Интернет" указывается "Отсутствует".</t>
  </si>
  <si>
    <t xml:space="preserve">Адрес электронной почты</t>
  </si>
  <si>
    <t xml:space="preserve">Указывается при наличии.</t>
  </si>
  <si>
    <t xml:space="preserve">Наименование организации</t>
  </si>
  <si>
    <t xml:space="preserve">ОГРН (ОГРНИП)</t>
  </si>
  <si>
    <t xml:space="preserve">Добавить организацию</t>
  </si>
  <si>
    <t>дата</t>
  </si>
  <si>
    <t>время</t>
  </si>
  <si>
    <t>место</t>
  </si>
  <si>
    <t xml:space="preserve">Добавить заседание</t>
  </si>
  <si>
    <t xml:space="preserve">Наименование органа тарифного регулирования</t>
  </si>
  <si>
    <t xml:space="preserve">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</si>
  <si>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 xml:space="preserve">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</si>
  <si>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 xml:space="preserve">Добавить должностное лицо</t>
  </si>
  <si>
    <t xml:space="preserve">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</si>
  <si>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</si>
  <si>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 xml:space="preserve">Краткое описание нарушения</t>
  </si>
  <si>
    <t xml:space="preserve">Результат рассмотрения дела об административном правонарушении</t>
  </si>
  <si>
    <t xml:space="preserve">Наименование регулируемой организации</t>
  </si>
  <si>
    <t xml:space="preserve">В поле "Субъект Российской Федерации" указывается наименование субъекта Российской Федерации.
В поле "Наименование организации" указывается наименование юридического лица согласно уставу организации
В поле "ИНН" указывается идентификационный номер налогоплательщика.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</si>
  <si>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rPr>
      <t>2</t>
    </r>
  </si>
  <si>
    <t xml:space="preserve">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</si>
  <si>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 xml:space="preserve">Название документа</t>
  </si>
  <si>
    <t xml:space="preserve">Исходящий номер</t>
  </si>
  <si>
    <t xml:space="preserve">Дата отправления</t>
  </si>
  <si>
    <t xml:space="preserve">В колонке "Дата отправления" дата указывается в виде «ДД.ММ.ГГГГ».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</si>
  <si>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rPr>
      <t>2</t>
    </r>
    <r>
      <rPr>
        <sz val="9"/>
        <rFont val="Tahoma"/>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</si>
  <si>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 xml:space="preserve">Сведения об изменениях в первоначально опубликованной информации*</t>
  </si>
  <si>
    <t>Сведения</t>
  </si>
  <si>
    <t>Добавить</t>
  </si>
  <si>
    <t xml:space="preserve">* Лист заполняется в случае, если на Титульном листе в поле "Тип отчета" выбрано значение «Изменения в раскрытой ранее информации».</t>
  </si>
  <si>
    <t>Комментарии</t>
  </si>
  <si>
    <t xml:space="preserve">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</si>
  <si>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</si>
  <si>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</si>
  <si>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</si>
  <si>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</si>
  <si>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</si>
  <si>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</si>
  <si>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</si>
  <si>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</si>
  <si>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</si>
  <si>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</si>
  <si>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</si>
  <si>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</si>
  <si>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</si>
  <si>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</si>
  <si>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</si>
  <si>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</si>
  <si>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</si>
  <si>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</si>
  <si>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</si>
  <si>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 xml:space="preserve">Добавить реквизиты</t>
  </si>
  <si>
    <t>et_IP_MAIN_PROPERTY</t>
  </si>
  <si>
    <t>et_IP_DETAILED</t>
  </si>
  <si>
    <t xml:space="preserve">Добавить мероприятие</t>
  </si>
  <si>
    <t>et_IP_DETAILED_OBJECT</t>
  </si>
  <si>
    <t xml:space="preserve">Добавить источник финансирования</t>
  </si>
  <si>
    <t>et_IP_DETAILED_IST_FIN</t>
  </si>
  <si>
    <t>et_IP_DETAILED_EVENT</t>
  </si>
  <si>
    <t xml:space="preserve">Добавить объект инфраструктуры</t>
  </si>
  <si>
    <t>et_QRE</t>
  </si>
  <si>
    <t xml:space="preserve">Добавить цель</t>
  </si>
  <si>
    <t>et_B_FHD20_1_NOT_HEAT</t>
  </si>
  <si>
    <t>et_B_FHD20_1_HEAT</t>
  </si>
  <si>
    <t xml:space="preserve">et_B_FHD20_2, _3, _4</t>
  </si>
  <si>
    <t xml:space="preserve">Итого по поставщику, в том числе</t>
  </si>
  <si>
    <t xml:space="preserve">Добавить товар/услугу</t>
  </si>
  <si>
    <t xml:space="preserve">Добавить способ</t>
  </si>
  <si>
    <t>et_DIFFERENTIATION_TARIFF(_etc)</t>
  </si>
  <si>
    <t>et_DIFFERENTIATION_TARIFF_NOT_HEAT(_etc)</t>
  </si>
  <si>
    <t>et_DIFFERENTIATION_TKO(_etc)</t>
  </si>
  <si>
    <t xml:space="preserve">Добавить класс ТКО</t>
  </si>
  <si>
    <t xml:space="preserve">Добавить вид ТКО</t>
  </si>
  <si>
    <t xml:space="preserve">Добавить технологическую особенность</t>
  </si>
  <si>
    <t xml:space="preserve">Имя листа</t>
  </si>
  <si>
    <t xml:space="preserve">Наименование, номер формы</t>
  </si>
  <si>
    <t>ТП</t>
  </si>
  <si>
    <t xml:space="preserve">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</si>
  <si>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 xml:space="preserve">Общая информация об организации</t>
  </si>
  <si>
    <t xml:space="preserve">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</si>
  <si>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 xml:space="preserve">Форма 1. Информация об организации (общая информация)</t>
  </si>
  <si>
    <t>Договоры</t>
  </si>
  <si>
    <t xml:space="preserve">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</si>
  <si>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 xml:space="preserve">Форма 8. Информация об условиях, на которых осуществляется оказание услуг в области обращения с твердыми коммунальными отходами</t>
  </si>
  <si>
    <t xml:space="preserve">Показатели ФХД</t>
  </si>
  <si>
    <t xml:space="preserve">Показатели ФХД &gt;20%</t>
  </si>
  <si>
    <t xml:space="preserve">Форма 11. Информация о расходах на капитальный и текущий ремонт основных средств</t>
  </si>
  <si>
    <t xml:space="preserve">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</si>
  <si>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 xml:space="preserve">Показатели КНЭ</t>
  </si>
  <si>
    <t xml:space="preserve">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</si>
  <si>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 xml:space="preserve">PRICE
Т-ТЭ | &gt;=25МВт
Т-ТЭ | ТСО
Резерв мощности</t>
  </si>
  <si>
    <t xml:space="preserve">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</si>
  <si>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 xml:space="preserve">PRICE
Т-ТН
Т-передача ТЭ
Т-передача ТН</t>
  </si>
  <si>
    <t xml:space="preserve">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</si>
  <si>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 xml:space="preserve">PRICE
Т-гор.вода</t>
  </si>
  <si>
    <t xml:space="preserve">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</si>
  <si>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xml:space="preserve">PRICE
Т-подкл</t>
  </si>
  <si>
    <t xml:space="preserve">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</si>
  <si>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 xml:space="preserve">REQUEST
Т-ТЭ | &gt;=25МВт
Т-ТЭ | ТСО
Резерв мощности</t>
  </si>
  <si>
    <t xml:space="preserve">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</si>
  <si>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 xml:space="preserve">REQUEST
Т-ТН
Т-передача ТЭ
Т-передача ТН</t>
  </si>
  <si>
    <t xml:space="preserve">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</si>
  <si>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 xml:space="preserve">REQUEST
Т-гор.вода</t>
  </si>
  <si>
    <t xml:space="preserve">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</si>
  <si>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xml:space="preserve">REQUEST
Т-подкл</t>
  </si>
  <si>
    <t xml:space="preserve">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</si>
  <si>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 xml:space="preserve">PRICE
ХВС. Т-пит
ХВС. Т-тех
ХВС. Т-транс
ХВС. Т-подвоз</t>
  </si>
  <si>
    <t xml:space="preserve">Форма 2. Информация
о тарифах в сфере холодного водоснабжения на товары (услуги) организации холодного водоснабжения, подлежащих регулированию</t>
  </si>
  <si>
    <t xml:space="preserve">PRICE
ХВС. Т-подкл</t>
  </si>
  <si>
    <t xml:space="preserve">Форма 3. Информация об установленных тарифах на подключение (технологическое присоединение) к централизованной системе холодного водоснабжения</t>
  </si>
  <si>
    <t xml:space="preserve">REQUEST
ХВС. Т-пит
ХВС. Т-тех
ХВС. Т-транс
ХВС. Т-подвоз</t>
  </si>
  <si>
    <t xml:space="preserve">Форма 13. Информация о предложении организации холодного водоснабжения об установлении расчетной величины тарифов в сфере холодного водоснабжения</t>
  </si>
  <si>
    <t xml:space="preserve">REQUEST
ХВС. Т-подкл</t>
  </si>
  <si>
    <t xml:space="preserve">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</si>
  <si>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 xml:space="preserve">PRICE
ГВС. Т-гор.вода
ГВС. Т-транс</t>
  </si>
  <si>
    <t xml:space="preserve">Форма 2. Информация о тарифах в сфере горячего водоснабжения на товары (услуги) организации горячего водоснабжения, подлежащих регулированию</t>
  </si>
  <si>
    <t xml:space="preserve">PRICE
ГВС. Т-подкл</t>
  </si>
  <si>
    <t xml:space="preserve">Форма 3. Информация об установленных тарифах на подключение (технологическое присоединение) к централизованной системе горячего водоснабжения</t>
  </si>
  <si>
    <t xml:space="preserve">REQUEST
ГВС. Т-гор.вода
ГВС. Т-транс</t>
  </si>
  <si>
    <t xml:space="preserve">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</si>
  <si>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 xml:space="preserve">REQUEST
ГВС. Т-подкл</t>
  </si>
  <si>
    <t xml:space="preserve">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</si>
  <si>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 xml:space="preserve">PRICE
ВО. Т-во
ВО. Т-транс</t>
  </si>
  <si>
    <t xml:space="preserve">Форма 2. Информация о тарифах в сфере водоотведения на товары (услуги) организации водоотведения, подлежащих регулированию</t>
  </si>
  <si>
    <t xml:space="preserve">PRICE
ВО. Т-подкл</t>
  </si>
  <si>
    <t xml:space="preserve">Форма 3.  Информация об установленных тарифах на подключение (технологическое присоединение) к централизованной системе водоотведения</t>
  </si>
  <si>
    <t xml:space="preserve">REQUEST
ВО. Т-во
ВО. Т-транс</t>
  </si>
  <si>
    <t xml:space="preserve">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</si>
  <si>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 xml:space="preserve">REQUEST
ВО. Т-подкл</t>
  </si>
  <si>
    <t xml:space="preserve">Форма 14. Информация о предложении организации водоотведения расчетной величины тарифов на подключение к централизованной системе водоотведения</t>
  </si>
  <si>
    <t xml:space="preserve">Сведения о закупках</t>
  </si>
  <si>
    <t xml:space="preserve">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</si>
  <si>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 xml:space="preserve">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</si>
  <si>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 xml:space="preserve">Порядок ТП</t>
  </si>
  <si>
    <t xml:space="preserve">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</si>
  <si>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 xml:space="preserve">Общая информация по ВД</t>
  </si>
  <si>
    <t xml:space="preserve">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</si>
  <si>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 xml:space="preserve">ИП
ИП. Детализация
ИП. Финансовый план
ИП. КНЭ</t>
  </si>
  <si>
    <t xml:space="preserve">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</si>
  <si>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 xml:space="preserve">Форма 7. Информация об инвестиционных программах и отчетах об их реализации (в части регулируемых видов деятельности)</t>
  </si>
  <si>
    <t xml:space="preserve">пункт НПА</t>
  </si>
  <si>
    <t xml:space="preserve">подпункт НПА</t>
  </si>
  <si>
    <t xml:space="preserve">состав пункта</t>
  </si>
  <si>
    <t xml:space="preserve">описание парметров</t>
  </si>
  <si>
    <t xml:space="preserve">номер пункта</t>
  </si>
  <si>
    <t xml:space="preserve">описание параметров</t>
  </si>
  <si>
    <t xml:space="preserve">описание к листу Общая информация об организации</t>
  </si>
  <si>
    <t xml:space="preserve">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</si>
  <si>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 xml:space="preserve">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</si>
  <si>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 xml:space="preserve">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</si>
  <si>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 xml:space="preserve">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</si>
  <si>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</si>
  <si>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</si>
  <si>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 xml:space="preserve">Количество поданных заявок</t>
  </si>
  <si>
    <t xml:space="preserve">Количество поданных заявлений </t>
  </si>
  <si>
    <t xml:space="preserve">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</si>
  <si>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</si>
  <si>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 xml:space="preserve">Количество рассмотренных заявок</t>
  </si>
  <si>
    <t xml:space="preserve">Количество исполненных заявлений </t>
  </si>
  <si>
    <t xml:space="preserve">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</si>
  <si>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</si>
  <si>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 xml:space="preserve">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</si>
  <si>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 xml:space="preserve">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</si>
  <si>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 xml:space="preserve">Указывается количество заявок с решением об отказе в течение отчетного квартала.</t>
  </si>
  <si>
    <t xml:space="preserve">Причины отказа в заключении договора о подключении (технологическом присоединении) к системе теплоснабжения</t>
  </si>
  <si>
    <t xml:space="preserve">Указывается текстовое описание причин принятия решений.
Не заполняется в случае, если решения об отказе в течение отчетного периода не принимались.</t>
  </si>
  <si>
    <t>г</t>
  </si>
  <si>
    <t xml:space="preserve">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</si>
  <si>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</si>
  <si>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 xml:space="preserve">Выручка от регулируемого вида деятельности с распределением по видам деятельности</t>
  </si>
  <si>
    <t xml:space="preserve">Выручка от регулируемых видов деятельности в сфере холодного водоснабжения</t>
  </si>
  <si>
    <t xml:space="preserve">Выручка от регулируемых видов деятельности в сфере горячего водоснабжения</t>
  </si>
  <si>
    <t xml:space="preserve">Выручка от регулируемых видов деятельности в сфере водоотведения</t>
  </si>
  <si>
    <t xml:space="preserve">Указывается выручка от регулируемого вида деятельности с распределением по видам деятельности.</t>
  </si>
  <si>
    <t xml:space="preserve">Указывается выручка с распределением по видам деятельности.</t>
  </si>
  <si>
    <t xml:space="preserve">Себестоимость производимых товаров (оказываемых услуг) по регулируемому виду деятельности, включая:</t>
  </si>
  <si>
    <t xml:space="preserve">Себестоимость производимых товаров (оказываемых услуг) по регулируемым видам деятельности в сфере холодного водоснабжения, включая:</t>
  </si>
  <si>
    <t xml:space="preserve">Себестоимость производимых товаров (оказываемых услуг) по регулируемым видам деятельности в сфере горячего водоснабжения, включая:</t>
  </si>
  <si>
    <t xml:space="preserve">Себестоимость производимых товаров (оказываемых услуг) по регулируемым видам деятельности в сфере водоотведения, включая:</t>
  </si>
  <si>
    <t xml:space="preserve">Указывается суммарная себестоимость производимых товаров.</t>
  </si>
  <si>
    <t xml:space="preserve">Расходы на приобретаемую тепловую энергию (мощность), теплоноситель</t>
  </si>
  <si>
    <t xml:space="preserve">Расходы на оплату холодной воды, приобретаемой у других организаций для последующей подачи потребителям</t>
  </si>
  <si>
    <t xml:space="preserve">Расходы на приобретаемую тепловую энергию (мощность), используемую для горячего водоснабжения</t>
  </si>
  <si>
    <t xml:space="preserve">Расходы на оплату услуг по приему, транспортировке и очистке сточных вод другими организациями</t>
  </si>
  <si>
    <t xml:space="preserve">Расходы на топливо с указанием по каждому виду топлива стоимости (за единицу объема), объема и способа его приобретения, стоимости его доставки</t>
  </si>
  <si>
    <t xml:space="preserve">Указываются суммарные расходы на приобретение топлива всех видов.</t>
  </si>
  <si>
    <t xml:space="preserve">Расходы на тепловую энергию, производимую с применением собственных источников и используемую для горячего водоснабжения</t>
  </si>
  <si>
    <t xml:space="preserve">Расходы на приобретаемую холодную воду, используемую для горячего водоснабжения</t>
  </si>
  <si>
    <t xml:space="preserve">Расходы на холодную воду, получаемую с применением собственных источников водозабора (скважин) и используемую для горячего водоснабжения</t>
  </si>
  <si>
    <t xml:space="preserve">Расходы на приобретаемую электрическую энергию (мощность), используемую в технологическом процессе</t>
  </si>
  <si>
    <t>2.5.1</t>
  </si>
  <si>
    <t xml:space="preserve">Средневзвешенная стоимость 1 кВт.ч (с учетом мощности)</t>
  </si>
  <si>
    <t>2.5.2</t>
  </si>
  <si>
    <t xml:space="preserve">Объём приобретения электрической энергии</t>
  </si>
  <si>
    <t xml:space="preserve">Расходы на приобретение холодной воды, используемой в технологическом процессе</t>
  </si>
  <si>
    <t xml:space="preserve">Расходы на химические реагенты, используемые в технологическом процессе</t>
  </si>
  <si>
    <t xml:space="preserve">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</si>
  <si>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 xml:space="preserve">Указывается общая сумма расходов на оплату труда и отчислений на социальные нужды основного производственного персонала.</t>
  </si>
  <si>
    <t>9.1</t>
  </si>
  <si>
    <t>2.6.1</t>
  </si>
  <si>
    <t xml:space="preserve">Расходы на оплату труда основного производственного персонала</t>
  </si>
  <si>
    <t>9.2</t>
  </si>
  <si>
    <t>2.6.2</t>
  </si>
  <si>
    <t xml:space="preserve">Страховые взносы на обязательное социальное страхование, выплачиваемые из фонда оплаты труда основного производственного персонала</t>
  </si>
  <si>
    <t xml:space="preserve">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</si>
  <si>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 xml:space="preserve">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</si>
  <si>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 xml:space="preserve">Указывается общая сумма расходов на оплату труда и отчислений на социальные нужды административно-управленческого персонала.</t>
  </si>
  <si>
    <t>10.1</t>
  </si>
  <si>
    <t>2.7.1</t>
  </si>
  <si>
    <t xml:space="preserve">Расходы на оплату труда административно-управленческого персонала</t>
  </si>
  <si>
    <t xml:space="preserve">Расходы на оплату труда административно-управленческого персонала, в том числе:</t>
  </si>
  <si>
    <t>10.2</t>
  </si>
  <si>
    <t>2.7.2</t>
  </si>
  <si>
    <t xml:space="preserve">Страховые взносы на обязательное социальное страхование, выплачиваемые из фонда оплаты труда административно-управленческого персонала</t>
  </si>
  <si>
    <t xml:space="preserve">Расходы на амортизацию основных средств и нематериальных активов</t>
  </si>
  <si>
    <t>11.1</t>
  </si>
  <si>
    <t>2.8.1</t>
  </si>
  <si>
    <t xml:space="preserve">Расходы на амортизацию основных средств</t>
  </si>
  <si>
    <t>11.2</t>
  </si>
  <si>
    <t>2.8.2</t>
  </si>
  <si>
    <t xml:space="preserve">Расходы на амортизацию нематериальных активов</t>
  </si>
  <si>
    <t xml:space="preserve">Расходы на аренду имущества, используемого для осуществления регулируемого вида деятельности</t>
  </si>
  <si>
    <t xml:space="preserve">Расходы на аренду имущества, используемого для осуществления регулируемых видов деятельности в сфере холодного водоснабжения</t>
  </si>
  <si>
    <t xml:space="preserve">Расходы на аренду имущества, используемого для осуществления регулируемых видов деятельности в сфере горячего водоснабжения</t>
  </si>
  <si>
    <t xml:space="preserve">Расходы на аренду имущества, используемого для осуществления регулируемых видов деятельности в сфере водоотведения</t>
  </si>
  <si>
    <t>2.10</t>
  </si>
  <si>
    <t xml:space="preserve">Общепроизводственные расходы, в том числе:</t>
  </si>
  <si>
    <t xml:space="preserve">Указывается общая сумма общепроизводственных расходов.</t>
  </si>
  <si>
    <t>13.1</t>
  </si>
  <si>
    <t>2.10.1</t>
  </si>
  <si>
    <t xml:space="preserve">Расходы на текущий ремонт</t>
  </si>
  <si>
    <t xml:space="preserve">Указываются расходы на текущий ремонт, отнесенные к общепроизводственным расходам.</t>
  </si>
  <si>
    <t>13.2</t>
  </si>
  <si>
    <t>2.10.2</t>
  </si>
  <si>
    <t xml:space="preserve">Расходы на капитальный ремонт</t>
  </si>
  <si>
    <t xml:space="preserve">Указываются расходы на капитальный ремонт, отнесенные к общепроизводственным расходам.</t>
  </si>
  <si>
    <t>2.11</t>
  </si>
  <si>
    <t xml:space="preserve">Общехозяйственные расходы, в том числе:</t>
  </si>
  <si>
    <t xml:space="preserve">Указывается общая сумма общехозяйственных расходов.</t>
  </si>
  <si>
    <t>14.1</t>
  </si>
  <si>
    <t>2.11.1</t>
  </si>
  <si>
    <t>2.9.1</t>
  </si>
  <si>
    <t xml:space="preserve">Указываются расходы на текущий ремонт, отнесенные к общехозяйственным расходам.</t>
  </si>
  <si>
    <t>14.2</t>
  </si>
  <si>
    <t>2.11.2</t>
  </si>
  <si>
    <t>2.9.2</t>
  </si>
  <si>
    <t xml:space="preserve">Указываются расходы на капитальный ремонт, отнесенные к общехозяйственным расходам.</t>
  </si>
  <si>
    <t>2.12</t>
  </si>
  <si>
    <t xml:space="preserve">Расходы на капитальный и текущий ремонт основных средств</t>
  </si>
  <si>
    <t xml:space="preserve">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</si>
  <si>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 xml:space="preserve">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</si>
  <si>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</si>
  <si>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</si>
  <si>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 xml:space="preserve">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</si>
  <si>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</si>
  <si>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</si>
  <si>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</si>
  <si>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</si>
  <si>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</si>
  <si>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</si>
  <si>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 xml:space="preserve">Прочие расходы, которые подлежат отнесению на регулируемые виды деятельности в соответствии с законодательством Российской Федерации</t>
  </si>
  <si>
    <t xml:space="preserve">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</si>
  <si>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 xml:space="preserve">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</si>
  <si>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 xml:space="preserve">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</si>
  <si>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 xml:space="preserve">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</si>
  <si>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 xml:space="preserve">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</si>
  <si>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</si>
  <si>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 xml:space="preserve">Валовая прибыль (убытки) от реализации товаров и оказания услуг по регулируемому виду деятельности</t>
  </si>
  <si>
    <t xml:space="preserve">Чистая прибыль, полученная от регулируемого вида деятельности, в том числе:</t>
  </si>
  <si>
    <t xml:space="preserve">Чистая прибыль, полученная от регулируемого вида деятельности в сфере холодного водоснабжения, в том числе:</t>
  </si>
  <si>
    <t xml:space="preserve">Чистая прибыль, полученная от регулируемого вида деятельности в сфере горячего водоснабжения, в том числе:</t>
  </si>
  <si>
    <t xml:space="preserve">Чистая прибыль, полученная от регулируемого вида деятельности в сфере водоотведения, в том числе:</t>
  </si>
  <si>
    <t xml:space="preserve">Размер расходования чистой прибыли на финансирование мероприятий, предусмотренных инвестиционной программой регулируемой организации</t>
  </si>
  <si>
    <t xml:space="preserve">Изменение стоимости основных фондов за счет их ввода в эксплуатацию (вывода из эксплуатации)</t>
  </si>
  <si>
    <t xml:space="preserve">Указываются общее изменение стоимости основных фондов за счет их ввода в эксплуатацию и вывода из эксплуатации.</t>
  </si>
  <si>
    <t xml:space="preserve">Изменение стоимости основных фондов за счет их ввода в эксплуатацию</t>
  </si>
  <si>
    <t>5.1.2</t>
  </si>
  <si>
    <t xml:space="preserve">Изменение стоимости основных фондов за счет их вывода в эксплуатацию</t>
  </si>
  <si>
    <t xml:space="preserve">Изменение стоимости основных фондов за счет их переоценки</t>
  </si>
  <si>
    <t xml:space="preserve">Валовая прибыль (убытки) от продажи товаров и услуг по регулируемым видам деятельности в сфере холодного водоснабжения</t>
  </si>
  <si>
    <t xml:space="preserve">Валовая прибыль (убытки) от продажи товаров и услуг по регулируемым видам деятельности в сфере горячего водоснабжения</t>
  </si>
  <si>
    <t xml:space="preserve">Валовая прибыль (убытки) от продажи товаров и услуг по регулируемым видам деятельности в сфере водоотведения</t>
  </si>
  <si>
    <t>е</t>
  </si>
  <si>
    <t xml:space="preserve">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</si>
  <si>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 xml:space="preserve">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</si>
  <si>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 xml:space="preserve">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</si>
  <si>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</si>
  <si>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 xml:space="preserve">Объём поднятой воды</t>
  </si>
  <si>
    <t>з</t>
  </si>
  <si>
    <t xml:space="preserve">Объём покупной воды</t>
  </si>
  <si>
    <t>и</t>
  </si>
  <si>
    <t xml:space="preserve">Объём воды, пропущенной через очистные сооружения</t>
  </si>
  <si>
    <t>к</t>
  </si>
  <si>
    <t xml:space="preserve">Объём отпущенной потребителям воды, в том числе:</t>
  </si>
  <si>
    <t xml:space="preserve">Указывается общий объем отпущенной потребителям воды.</t>
  </si>
  <si>
    <t xml:space="preserve">Объём отпущенной потребителям воды, определенный по приборам учета</t>
  </si>
  <si>
    <t xml:space="preserve">Объём отпущенной потребителям воды, определенный расчетным способом</t>
  </si>
  <si>
    <t>10.2.1</t>
  </si>
  <si>
    <t xml:space="preserve">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</si>
  <si>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</si>
  <si>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</si>
  <si>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</si>
  <si>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 xml:space="preserve">Потери воды в сетях</t>
  </si>
  <si>
    <t xml:space="preserve">Объём приобретаемой холодной воды, используемой для горячего водоснабжения</t>
  </si>
  <si>
    <t xml:space="preserve">Объём холодной воды, получаемой с применением собственных источников водозабора (скважин) и используемой для горячего водоснабжения</t>
  </si>
  <si>
    <t xml:space="preserve">Объём приобретаемой тепловой энергии (мощности), используемой для горячего водоснабжения</t>
  </si>
  <si>
    <t xml:space="preserve">Объём тепловой энергии, производимой с применением собственных источников и используемой для горячего водоснабжения</t>
  </si>
  <si>
    <t xml:space="preserve">Потери горячей воды в сетях (процентов)</t>
  </si>
  <si>
    <t xml:space="preserve">Объём сточных вод, принятых от потребителей</t>
  </si>
  <si>
    <t xml:space="preserve">Объём сточных вод, принятых от других регулируемых организаций, осуществляющих водоотведение и (или) очистку сточных вод</t>
  </si>
  <si>
    <t xml:space="preserve">Объём сточных вод, пропущенных через очистные сооружения</t>
  </si>
  <si>
    <t xml:space="preserve">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t>
  </si>
  <si>
    <t xml:space="preserve">Тепловая нагрузка по договорам, заключенным в рамках осуществления регулируемых видов деятельности</t>
  </si>
  <si>
    <t xml:space="preserve">Регулируемыми организациями указывается информация по договорам, заключенным в рамках осуществления регулируемых видов деятельности</t>
  </si>
  <si>
    <t xml:space="preserve">Объем вырабатываемой регулируемой организацией тепловой энергии в рамках осуществления регулируемых видов деятельности</t>
  </si>
  <si>
    <t xml:space="preserve">Регулируемыми организациями указывается информация тепловой энергии, выработанной в рамках осуществления регулируемых видов деятельности.</t>
  </si>
  <si>
    <t xml:space="preserve">Объем приобретаемой регулируемой организацией тепловой энергии в рамках осуществления регулируемых видов деятельности</t>
  </si>
  <si>
    <t xml:space="preserve">Информация указывается только едиными теплоснабжающими организациями.</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</si>
  <si>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</si>
  <si>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 xml:space="preserve">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</si>
  <si>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</si>
  <si>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</si>
  <si>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 xml:space="preserve">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</si>
  <si>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 xml:space="preserve">Расчётным путём</t>
  </si>
  <si>
    <t>10.3</t>
  </si>
  <si>
    <t xml:space="preserve">По нормативам потребления коммунальных услуг и нормативам потребления коммунальных ресурсов</t>
  </si>
  <si>
    <t>м</t>
  </si>
  <si>
    <t xml:space="preserve">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</si>
  <si>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</si>
  <si>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</si>
  <si>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</si>
  <si>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 xml:space="preserve">Удельный расход электрической энергии на подачу воды в сеть</t>
  </si>
  <si>
    <t xml:space="preserve">Расход воды на собственные нужды, в том числе:</t>
  </si>
  <si>
    <t xml:space="preserve">Указывается доля общего расхода воды на собственные нужны от объема отпуска воды потребителям.</t>
  </si>
  <si>
    <t xml:space="preserve">Расход воды на хозяйственно-бытовые нужды</t>
  </si>
  <si>
    <t xml:space="preserve">Указывается доля расхода воды на хозяйственно-бытовые нужны от объема отпуска воды потребителям.</t>
  </si>
  <si>
    <t xml:space="preserve">Показатель использования производственных объектов (по объему перекачки), в том числе:</t>
  </si>
  <si>
    <t xml:space="preserve">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</si>
  <si>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</si>
  <si>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 xml:space="preserve">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</si>
  <si>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 xml:space="preserve">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</si>
  <si>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 xml:space="preserve">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</si>
  <si>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</si>
  <si>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</si>
  <si>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 xml:space="preserve">Регулируемыми организациями указывается информация с по договорам, заключенным в рамках осуществления регулируемой деятельности.</t>
  </si>
  <si>
    <t>у</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</si>
  <si>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</si>
  <si>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</si>
  <si>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 xml:space="preserve">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</si>
  <si>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</si>
  <si>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 xml:space="preserve">Информация о показателях физического износа объектов теплоснабжения</t>
  </si>
  <si>
    <t>19.2</t>
  </si>
  <si>
    <t xml:space="preserve">Информация о показателях энергетической эффективности объектов теплоснабжения</t>
  </si>
  <si>
    <t>27/44</t>
  </si>
  <si>
    <t>68</t>
  </si>
  <si>
    <t xml:space="preserve">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</si>
  <si>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 xml:space="preserve">Сведения об условиях публичных договоров на оказание регулируемых услуг в области обращения с твердыми коммунальными отходами</t>
  </si>
  <si>
    <t xml:space="preserve">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</si>
  <si>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 xml:space="preserve">Период действия тарифа</t>
  </si>
  <si>
    <t xml:space="preserve">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</si>
  <si>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</si>
  <si>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
</t>
  </si>
  <si>
    <t xml:space="preserve">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</si>
  <si>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</si>
  <si>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</si>
  <si>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</si>
  <si>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</si>
  <si>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</si>
  <si>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</si>
  <si>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</si>
  <si>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</si>
  <si>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</si>
  <si>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</si>
  <si>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</si>
  <si>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</si>
  <si>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</si>
  <si>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</si>
  <si>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2598</t>
  </si>
  <si>
    <t>26321960</t>
  </si>
  <si>
    <t xml:space="preserve">АО "360 авиационный ремонтный завод"</t>
  </si>
  <si>
    <t>6229059220</t>
  </si>
  <si>
    <t>622901001</t>
  </si>
  <si>
    <t>28796046</t>
  </si>
  <si>
    <t xml:space="preserve">АО "ГТ Энерго"</t>
  </si>
  <si>
    <t>7703806647</t>
  </si>
  <si>
    <t>772801001</t>
  </si>
  <si>
    <t>30357669</t>
  </si>
  <si>
    <t xml:space="preserve">АО "Главное управление жилищно-коммунального хозяйства"</t>
  </si>
  <si>
    <t>5116000922</t>
  </si>
  <si>
    <t>623445001</t>
  </si>
  <si>
    <t>26359365</t>
  </si>
  <si>
    <t xml:space="preserve">АО "Государственный Рязанский приборный завод"</t>
  </si>
  <si>
    <t>6234098539</t>
  </si>
  <si>
    <t>623401001</t>
  </si>
  <si>
    <t>26359355</t>
  </si>
  <si>
    <t xml:space="preserve">АО "Приокский завод цветных металлов"</t>
  </si>
  <si>
    <t>6226006397</t>
  </si>
  <si>
    <t>622601001</t>
  </si>
  <si>
    <t xml:space="preserve">28-03-2003 00:00:00</t>
  </si>
  <si>
    <t>26374789</t>
  </si>
  <si>
    <t xml:space="preserve">АО "РНПК"</t>
  </si>
  <si>
    <t>6227007322</t>
  </si>
  <si>
    <t>26838066</t>
  </si>
  <si>
    <t xml:space="preserve">АО "РЭУ"</t>
  </si>
  <si>
    <t>7714783092</t>
  </si>
  <si>
    <t>770401001</t>
  </si>
  <si>
    <t>26359363</t>
  </si>
  <si>
    <t xml:space="preserve">АО "Рязанский радиозавод"</t>
  </si>
  <si>
    <t>6231006875</t>
  </si>
  <si>
    <t>623101001</t>
  </si>
  <si>
    <t>27781407</t>
  </si>
  <si>
    <t xml:space="preserve">Вагонное ремонтное депо Сасово-обособленное структурное подразделение акционерного общества "Вагонная Ремонтная Компания-3"</t>
  </si>
  <si>
    <t>7708737500</t>
  </si>
  <si>
    <t>623245001</t>
  </si>
  <si>
    <t xml:space="preserve">14-04-2011 00:00:00</t>
  </si>
  <si>
    <t>30414868</t>
  </si>
  <si>
    <t xml:space="preserve">ГБУ РО "ДОЦ круглогодичного действия "Зарница"</t>
  </si>
  <si>
    <t>6215028085</t>
  </si>
  <si>
    <t>621501001</t>
  </si>
  <si>
    <t>30427506</t>
  </si>
  <si>
    <t xml:space="preserve">ГБУ РО ОКОД</t>
  </si>
  <si>
    <t>6230008245</t>
  </si>
  <si>
    <t>623001001</t>
  </si>
  <si>
    <t>28874837</t>
  </si>
  <si>
    <t xml:space="preserve">ГБУ Рязанской области "Городская клиническая больница №11"</t>
  </si>
  <si>
    <t>6230001056</t>
  </si>
  <si>
    <t xml:space="preserve">ГЛАВНОЕ УПРАВЛЕНИЕ "РЕГИОНАЛЬНАЯ ЭНЕРГЕТИЧЕСКАЯ КОМИССИЯ" РЯЗАНСКОЙ ОБЛАСТИ</t>
  </si>
  <si>
    <t>6231037520</t>
  </si>
  <si>
    <t>26775083</t>
  </si>
  <si>
    <t xml:space="preserve">Гавриловское линейное производственное управление магистральных газопроводов - филиал ООО “Газпром трансгаз Москва”</t>
  </si>
  <si>
    <t>5003028028</t>
  </si>
  <si>
    <t>507203001</t>
  </si>
  <si>
    <t>26359361</t>
  </si>
  <si>
    <t xml:space="preserve">ЗАО "Рязанский завод силикатных изделий"</t>
  </si>
  <si>
    <t>6229005352</t>
  </si>
  <si>
    <t>28467773</t>
  </si>
  <si>
    <t xml:space="preserve">ЗАО "Электронприбор"</t>
  </si>
  <si>
    <t>6230040094</t>
  </si>
  <si>
    <t>26359352</t>
  </si>
  <si>
    <t xml:space="preserve">Лесновское МУП ЖКХ</t>
  </si>
  <si>
    <t>6225001565</t>
  </si>
  <si>
    <t>622501001</t>
  </si>
  <si>
    <t>31034066</t>
  </si>
  <si>
    <t xml:space="preserve">МКП "ЖКХ "Милославское"</t>
  </si>
  <si>
    <t>6207004740</t>
  </si>
  <si>
    <t>620701001</t>
  </si>
  <si>
    <t xml:space="preserve">08-11-2017 00:00:00</t>
  </si>
  <si>
    <t>31215552</t>
  </si>
  <si>
    <t xml:space="preserve">МКП "ЖКХ Путятинское"</t>
  </si>
  <si>
    <t>6212002949</t>
  </si>
  <si>
    <t>621201001</t>
  </si>
  <si>
    <t xml:space="preserve">31-05-2018 00:00:00</t>
  </si>
  <si>
    <t>30864654</t>
  </si>
  <si>
    <t xml:space="preserve">МКП "ЖКХ Рязанское"</t>
  </si>
  <si>
    <t>6215030609</t>
  </si>
  <si>
    <t xml:space="preserve">09-09-2016 00:00:00</t>
  </si>
  <si>
    <t>31197181</t>
  </si>
  <si>
    <t xml:space="preserve">МКП "ЖКХ Сасовского района"</t>
  </si>
  <si>
    <t>6218003152</t>
  </si>
  <si>
    <t>621801001</t>
  </si>
  <si>
    <t xml:space="preserve">24-05-2018 00:00:00</t>
  </si>
  <si>
    <t>30861215</t>
  </si>
  <si>
    <t xml:space="preserve">МКП "ЖКХ Чучковское"</t>
  </si>
  <si>
    <t>6223002475</t>
  </si>
  <si>
    <t>622301001</t>
  </si>
  <si>
    <t xml:space="preserve">22-07-2016 00:00:00</t>
  </si>
  <si>
    <t>30795147</t>
  </si>
  <si>
    <t xml:space="preserve">МКП "Жилсервис"</t>
  </si>
  <si>
    <t>6219007897</t>
  </si>
  <si>
    <t>621901001</t>
  </si>
  <si>
    <t xml:space="preserve">27-01-2016 00:00:00</t>
  </si>
  <si>
    <t>30864638</t>
  </si>
  <si>
    <t xml:space="preserve">МКП "Касимовсервис"</t>
  </si>
  <si>
    <t>6226013002</t>
  </si>
  <si>
    <t xml:space="preserve">18-10-2016 00:00:00</t>
  </si>
  <si>
    <t>31203571</t>
  </si>
  <si>
    <t xml:space="preserve">МКП "Клепиковское"</t>
  </si>
  <si>
    <t>6205000683</t>
  </si>
  <si>
    <t>620501001</t>
  </si>
  <si>
    <t xml:space="preserve">24-01-2018 00:00:00</t>
  </si>
  <si>
    <t>26359326</t>
  </si>
  <si>
    <t xml:space="preserve">МКП "Кораблинские тепловые и электрические сети"</t>
  </si>
  <si>
    <t>6206003510</t>
  </si>
  <si>
    <t>620601001</t>
  </si>
  <si>
    <t xml:space="preserve">27-12-2006 00:00:00</t>
  </si>
  <si>
    <t>30434284</t>
  </si>
  <si>
    <t xml:space="preserve">МКП "Октябрьское"</t>
  </si>
  <si>
    <t>6208011563</t>
  </si>
  <si>
    <t>620801001</t>
  </si>
  <si>
    <t>31197268</t>
  </si>
  <si>
    <t xml:space="preserve">МКП "ПассажирСервис"</t>
  </si>
  <si>
    <t>6217008197</t>
  </si>
  <si>
    <t>621701001</t>
  </si>
  <si>
    <t xml:space="preserve">26-01-2011 00:00:00</t>
  </si>
  <si>
    <t>30983721</t>
  </si>
  <si>
    <t xml:space="preserve">МКП "Пронские тепловые сети"</t>
  </si>
  <si>
    <t>6211008578</t>
  </si>
  <si>
    <t>621101001</t>
  </si>
  <si>
    <t xml:space="preserve">14-09-2017 00:00:00</t>
  </si>
  <si>
    <t>31468938</t>
  </si>
  <si>
    <t xml:space="preserve">МКП "РЫБНОВСКОЕ"</t>
  </si>
  <si>
    <t>6213013929</t>
  </si>
  <si>
    <t>621301001</t>
  </si>
  <si>
    <t xml:space="preserve">11-06-2019 00:00:00</t>
  </si>
  <si>
    <t>30836700</t>
  </si>
  <si>
    <t xml:space="preserve">МКП "Сапожковское ЖКХ"</t>
  </si>
  <si>
    <t>6216002210</t>
  </si>
  <si>
    <t>621601001</t>
  </si>
  <si>
    <t xml:space="preserve">06-10-2015 00:00:00</t>
  </si>
  <si>
    <t>30933869</t>
  </si>
  <si>
    <t xml:space="preserve">МКП "Сасовские тепловые сети"</t>
  </si>
  <si>
    <t>6232009710</t>
  </si>
  <si>
    <t>623201001</t>
  </si>
  <si>
    <t xml:space="preserve">16-06-2017 00:00:00</t>
  </si>
  <si>
    <t>31211868</t>
  </si>
  <si>
    <t xml:space="preserve">МКП "Теплосервис"</t>
  </si>
  <si>
    <t>6220010220</t>
  </si>
  <si>
    <t>622001001</t>
  </si>
  <si>
    <t xml:space="preserve">20-06-2018 00:00:00</t>
  </si>
  <si>
    <t>30378184</t>
  </si>
  <si>
    <t xml:space="preserve">МКП "Теплотехника №2"</t>
  </si>
  <si>
    <t>6214006515</t>
  </si>
  <si>
    <t>621401001</t>
  </si>
  <si>
    <t>26321934</t>
  </si>
  <si>
    <t xml:space="preserve">МКП "Ухоловский коммунальщик"</t>
  </si>
  <si>
    <t>6217007362</t>
  </si>
  <si>
    <t>622201001</t>
  </si>
  <si>
    <t>26359327</t>
  </si>
  <si>
    <t xml:space="preserve">МКП "Энерго-сбытовая и тепловая компания"</t>
  </si>
  <si>
    <t>6208009187</t>
  </si>
  <si>
    <t>31218363</t>
  </si>
  <si>
    <t xml:space="preserve">МКП «ЖКХ «Захаровское»</t>
  </si>
  <si>
    <t>6202005637</t>
  </si>
  <si>
    <t>620201001</t>
  </si>
  <si>
    <t>31514170</t>
  </si>
  <si>
    <t xml:space="preserve">МКП «ЖКХ Городское»</t>
  </si>
  <si>
    <t>6224007074</t>
  </si>
  <si>
    <t>622401001</t>
  </si>
  <si>
    <t xml:space="preserve">16-04-2021 00:00:00</t>
  </si>
  <si>
    <t>30384847</t>
  </si>
  <si>
    <t xml:space="preserve">МКП «Скопинские тепловые сети» Скопинского муниципального округа Рязанской области</t>
  </si>
  <si>
    <t>6233003654</t>
  </si>
  <si>
    <t>623301001</t>
  </si>
  <si>
    <t>26359368</t>
  </si>
  <si>
    <t xml:space="preserve">МУП " ЖКХ Жилкомсервис г.Сасово"</t>
  </si>
  <si>
    <t>6232006300</t>
  </si>
  <si>
    <t>26359358</t>
  </si>
  <si>
    <t xml:space="preserve">МУП "РМПТС"</t>
  </si>
  <si>
    <t>6227000888</t>
  </si>
  <si>
    <t>26543465</t>
  </si>
  <si>
    <t xml:space="preserve">МУП ЖКХ "БЫТ"</t>
  </si>
  <si>
    <t>6215023143</t>
  </si>
  <si>
    <t>26360982</t>
  </si>
  <si>
    <t xml:space="preserve">Московская дирекция по эксплуатации зданий и сооружений – структурное подразделение Московской железной дороги – филиала ОАО «РЖД»</t>
  </si>
  <si>
    <t>7708503727</t>
  </si>
  <si>
    <t>770802001</t>
  </si>
  <si>
    <t>26359349</t>
  </si>
  <si>
    <t xml:space="preserve">ОАО "Автоколонна 1663"</t>
  </si>
  <si>
    <t>6224001153</t>
  </si>
  <si>
    <t>26535752</t>
  </si>
  <si>
    <t xml:space="preserve">ОАО "Ветзоотехника"</t>
  </si>
  <si>
    <t>6213000302</t>
  </si>
  <si>
    <t>26778743</t>
  </si>
  <si>
    <t xml:space="preserve">ОАО "Михайловхлебопродукты"</t>
  </si>
  <si>
    <t>6208000459</t>
  </si>
  <si>
    <t>26535486</t>
  </si>
  <si>
    <t xml:space="preserve">ОАО "РЖД" Рязанские дорожные путевые ремонтно-механические мастерские</t>
  </si>
  <si>
    <t>623431004</t>
  </si>
  <si>
    <t>27791256</t>
  </si>
  <si>
    <t xml:space="preserve">ОАО "Скопинское автотранспортное предприятие"</t>
  </si>
  <si>
    <t>6219000235</t>
  </si>
  <si>
    <t>27583068</t>
  </si>
  <si>
    <t xml:space="preserve">ОГБОУ СПО «Рязанский педагогический колледж» (г.Касимов)</t>
  </si>
  <si>
    <t>6231041608</t>
  </si>
  <si>
    <t>30856193</t>
  </si>
  <si>
    <t xml:space="preserve">ОГБПОУ "РПК" (г.Касимов)</t>
  </si>
  <si>
    <t xml:space="preserve">06-04-1999 00:00:00</t>
  </si>
  <si>
    <t>27776274</t>
  </si>
  <si>
    <t xml:space="preserve">ОГБПОУ "Рязанский железнодорожный колледж"</t>
  </si>
  <si>
    <t>6234064441</t>
  </si>
  <si>
    <t>30434678</t>
  </si>
  <si>
    <t xml:space="preserve">ОГБПОУ "Шацкий агротехнологический техникум"</t>
  </si>
  <si>
    <t>6224006465</t>
  </si>
  <si>
    <t>30960974</t>
  </si>
  <si>
    <t xml:space="preserve">ОГБПОУ «Шиловский агротехнологический техникум»</t>
  </si>
  <si>
    <t>6225009050</t>
  </si>
  <si>
    <t>28950993</t>
  </si>
  <si>
    <t xml:space="preserve">ООО " Рыбновские тепловые системы+"</t>
  </si>
  <si>
    <t>6213011022</t>
  </si>
  <si>
    <t>28146346</t>
  </si>
  <si>
    <t xml:space="preserve">ООО " Теплоэнергетик"</t>
  </si>
  <si>
    <t>6218005752</t>
  </si>
  <si>
    <t>26535710</t>
  </si>
  <si>
    <t xml:space="preserve">ООО "Авангард"</t>
  </si>
  <si>
    <t>6215013346</t>
  </si>
  <si>
    <t>26764325</t>
  </si>
  <si>
    <t xml:space="preserve">ООО "Ансет"</t>
  </si>
  <si>
    <t>6234026238</t>
  </si>
  <si>
    <t>27736545</t>
  </si>
  <si>
    <t xml:space="preserve">ООО "Веста"</t>
  </si>
  <si>
    <t>6212002628</t>
  </si>
  <si>
    <t xml:space="preserve">20-04-2011 00:00:00</t>
  </si>
  <si>
    <t>28007130</t>
  </si>
  <si>
    <t xml:space="preserve">ООО "Водоканал плюс"</t>
  </si>
  <si>
    <t>6213010082</t>
  </si>
  <si>
    <t xml:space="preserve">08-07-2011 00:00:00</t>
  </si>
  <si>
    <t>31739998</t>
  </si>
  <si>
    <t xml:space="preserve">ООО "Дивергенция"</t>
  </si>
  <si>
    <t>7842218811</t>
  </si>
  <si>
    <t>784201001</t>
  </si>
  <si>
    <t xml:space="preserve">01-11-2023 00:00:00</t>
  </si>
  <si>
    <t>26815952</t>
  </si>
  <si>
    <t xml:space="preserve">ООО "КВИН"</t>
  </si>
  <si>
    <t>6204006957</t>
  </si>
  <si>
    <t>620401001</t>
  </si>
  <si>
    <t xml:space="preserve">22-06-2006 00:00:00</t>
  </si>
  <si>
    <t>30478712</t>
  </si>
  <si>
    <t xml:space="preserve">ООО "Кардинал"</t>
  </si>
  <si>
    <t>7103037615</t>
  </si>
  <si>
    <t>26812556</t>
  </si>
  <si>
    <t xml:space="preserve">ООО "Касимовские коммунальные системы"</t>
  </si>
  <si>
    <t>6226010770</t>
  </si>
  <si>
    <t>26760815</t>
  </si>
  <si>
    <t xml:space="preserve">ООО "Луч"</t>
  </si>
  <si>
    <t>7728739872</t>
  </si>
  <si>
    <t>28462778</t>
  </si>
  <si>
    <t xml:space="preserve">ООО "Маяк-Инвест"</t>
  </si>
  <si>
    <t>6231030733</t>
  </si>
  <si>
    <t>31732437</t>
  </si>
  <si>
    <t xml:space="preserve">ООО "Монолит"</t>
  </si>
  <si>
    <t>6234036275</t>
  </si>
  <si>
    <t xml:space="preserve">26-01-2007 00:00:00</t>
  </si>
  <si>
    <t>30874996</t>
  </si>
  <si>
    <t xml:space="preserve">ООО "ПРИТОК"</t>
  </si>
  <si>
    <t>6231032762</t>
  </si>
  <si>
    <t>26535775</t>
  </si>
  <si>
    <t xml:space="preserve">ООО "Приток-Строй"</t>
  </si>
  <si>
    <t>6234031703</t>
  </si>
  <si>
    <t>26359359</t>
  </si>
  <si>
    <t xml:space="preserve">ООО "РЗЖБИ-2"</t>
  </si>
  <si>
    <t>6234145242</t>
  </si>
  <si>
    <t xml:space="preserve">10-06-2015 00:00:00</t>
  </si>
  <si>
    <t>28946020</t>
  </si>
  <si>
    <t xml:space="preserve">ООО "Рыбновские тепловые системы"</t>
  </si>
  <si>
    <t>6213011030</t>
  </si>
  <si>
    <t>26777984</t>
  </si>
  <si>
    <t xml:space="preserve">ООО "Ряжские тепловые сети"</t>
  </si>
  <si>
    <t>6214006900</t>
  </si>
  <si>
    <t>31455828</t>
  </si>
  <si>
    <t xml:space="preserve">ООО "Рязанская теплосетевая компания"</t>
  </si>
  <si>
    <t>6215033254</t>
  </si>
  <si>
    <t xml:space="preserve">27-08-2020 00:00:00</t>
  </si>
  <si>
    <t>31996622</t>
  </si>
  <si>
    <t xml:space="preserve">ООО "Рязаньвест"</t>
  </si>
  <si>
    <t>6231013311</t>
  </si>
  <si>
    <t>26534862</t>
  </si>
  <si>
    <t xml:space="preserve">ООО "Рязаньэлеватор"</t>
  </si>
  <si>
    <t>6229042107</t>
  </si>
  <si>
    <t>27290489</t>
  </si>
  <si>
    <t xml:space="preserve">ООО "Сасовские тепловые сети"</t>
  </si>
  <si>
    <t>6232008508</t>
  </si>
  <si>
    <t>26760242</t>
  </si>
  <si>
    <t xml:space="preserve">ООО "Спас-Клепиковские коммунальные системы"</t>
  </si>
  <si>
    <t>6205008001</t>
  </si>
  <si>
    <t>27517239</t>
  </si>
  <si>
    <t xml:space="preserve">ООО "Спасские коммунальные системы"</t>
  </si>
  <si>
    <t>6220008662</t>
  </si>
  <si>
    <t xml:space="preserve">11-01-2011 00:00:00</t>
  </si>
  <si>
    <t>26781296</t>
  </si>
  <si>
    <t xml:space="preserve">ООО "Старожиловское ЖКХ"</t>
  </si>
  <si>
    <t>6221003498</t>
  </si>
  <si>
    <t>622101001</t>
  </si>
  <si>
    <t>26769835</t>
  </si>
  <si>
    <t xml:space="preserve">ООО "Тепловодоканал"</t>
  </si>
  <si>
    <t>6209003685</t>
  </si>
  <si>
    <t>620901001</t>
  </si>
  <si>
    <t>30875545</t>
  </si>
  <si>
    <t xml:space="preserve">ООО "Трон"</t>
  </si>
  <si>
    <t>6234102792</t>
  </si>
  <si>
    <t>31033083</t>
  </si>
  <si>
    <t xml:space="preserve">ООО "УК "Вертикаль"</t>
  </si>
  <si>
    <t>6234149279</t>
  </si>
  <si>
    <t xml:space="preserve">13-10-2015 00:00:00</t>
  </si>
  <si>
    <t>28151994</t>
  </si>
  <si>
    <t xml:space="preserve">ООО "Управляющая организация  Техрембытсервис-1"</t>
  </si>
  <si>
    <t>5005055524</t>
  </si>
  <si>
    <t>500501001</t>
  </si>
  <si>
    <t>26816768</t>
  </si>
  <si>
    <t xml:space="preserve">ООО "Шацкие коммунальные системы"</t>
  </si>
  <si>
    <t>6224006112</t>
  </si>
  <si>
    <t>31341524</t>
  </si>
  <si>
    <t xml:space="preserve">ООО "ЭТАЛОН ИНВЕСТ"</t>
  </si>
  <si>
    <t>5005062634</t>
  </si>
  <si>
    <t xml:space="preserve">07-06-2016 00:00:00</t>
  </si>
  <si>
    <t>28461429</t>
  </si>
  <si>
    <t xml:space="preserve">ООО" Управляющая жилищно-сервисная компания"</t>
  </si>
  <si>
    <t>6234051918</t>
  </si>
  <si>
    <t>30983657</t>
  </si>
  <si>
    <t xml:space="preserve">Рязанская территориальная фирма «Мостоотряд №22» филиал ПАО «Мостотрест»</t>
  </si>
  <si>
    <t>7701045732</t>
  </si>
  <si>
    <t>773001001</t>
  </si>
  <si>
    <t>26318543</t>
  </si>
  <si>
    <t xml:space="preserve">Рязанский филиал ООО "Ново-Рязанская ТЭЦ"</t>
  </si>
  <si>
    <t>1655063821</t>
  </si>
  <si>
    <t>623003001</t>
  </si>
  <si>
    <t>31210520</t>
  </si>
  <si>
    <t xml:space="preserve">Рязанский филиал ФГБУ "Рослесинфорг"</t>
  </si>
  <si>
    <t>7722319952</t>
  </si>
  <si>
    <t>623443001</t>
  </si>
  <si>
    <t xml:space="preserve">19-03-2015 00:00:00</t>
  </si>
  <si>
    <t>26506363</t>
  </si>
  <si>
    <t xml:space="preserve">Тульский территориальный участок Московской дирекции по тепловодоснабжению структурного подразделения Центральной дирекции по тепловодоснабжению - филиала ОАО "РЖД"</t>
  </si>
  <si>
    <t>770845001</t>
  </si>
  <si>
    <t>26535106</t>
  </si>
  <si>
    <t xml:space="preserve">ФГБОУ ВО РГАТУ</t>
  </si>
  <si>
    <t>6229000643</t>
  </si>
  <si>
    <t>30903763</t>
  </si>
  <si>
    <t xml:space="preserve">ФГБУ "ЦЖКУ" МИНОБОРОНЫ РОССИИ</t>
  </si>
  <si>
    <t>7729314745</t>
  </si>
  <si>
    <t>770101001</t>
  </si>
  <si>
    <t>26359346</t>
  </si>
  <si>
    <t xml:space="preserve">ФГКУ комбинат "Красная Новь"</t>
  </si>
  <si>
    <t>6223000870</t>
  </si>
  <si>
    <t>26535723</t>
  </si>
  <si>
    <t xml:space="preserve">ФКПОУ "МЭКИ" Минтруда России</t>
  </si>
  <si>
    <t>6208004799</t>
  </si>
  <si>
    <t>26535068</t>
  </si>
  <si>
    <t xml:space="preserve">ФКУ ИК-2 УФСИН России по Рязанской области</t>
  </si>
  <si>
    <t>6229029473</t>
  </si>
  <si>
    <t>31838625</t>
  </si>
  <si>
    <t xml:space="preserve">ФКУ ИЦ-2 УФСИН России по Рязанской области</t>
  </si>
  <si>
    <t>6200003017</t>
  </si>
  <si>
    <t>620001001</t>
  </si>
  <si>
    <t xml:space="preserve">07-03-2025 00:00:00</t>
  </si>
  <si>
    <t>28869496</t>
  </si>
  <si>
    <t xml:space="preserve">Филиал АО «РИР Энерго» - «Тамбовская генерация» Котельная в поселке Искра Рязанского района Рязанской области</t>
  </si>
  <si>
    <t>6829012680</t>
  </si>
  <si>
    <t>621545001</t>
  </si>
  <si>
    <t xml:space="preserve">20-04-2005 00:00:00</t>
  </si>
  <si>
    <t>26359941</t>
  </si>
  <si>
    <t xml:space="preserve">Филиал АО «РИР Энерго» - «Тамбовская генерация» производственное подразделение «Дягилевская ТЭЦ»</t>
  </si>
  <si>
    <t>622945001</t>
  </si>
  <si>
    <t>30941480</t>
  </si>
  <si>
    <t xml:space="preserve">Филиал ФГБУ "ЦЖКУ" Минобороны России (по МВО)</t>
  </si>
  <si>
    <t>503243002</t>
  </si>
  <si>
    <t>26513518</t>
  </si>
  <si>
    <t xml:space="preserve">Центральный филиал ООО «Газпром энерго»</t>
  </si>
  <si>
    <t>7736186950</t>
  </si>
  <si>
    <t>504343001</t>
  </si>
  <si>
    <t xml:space="preserve">07-02-2006 00:00:00</t>
  </si>
  <si>
    <t>26359351</t>
  </si>
  <si>
    <t xml:space="preserve">Шиловское МУПТЭС</t>
  </si>
  <si>
    <t>6225000882</t>
  </si>
  <si>
    <t xml:space="preserve">29-09-2000 00:00:00</t>
  </si>
  <si>
    <t>26759919</t>
  </si>
  <si>
    <t xml:space="preserve">филиал ООО "Газпром ПХГ" "Касимовское УПХГ"</t>
  </si>
  <si>
    <t>5003065767</t>
  </si>
  <si>
    <t>620402001</t>
  </si>
  <si>
    <t xml:space="preserve">24-06-2015 00:00:00</t>
  </si>
  <si>
    <t>27566166</t>
  </si>
  <si>
    <t xml:space="preserve">филиал Рязанское районное нефтепроводное управление" АО "Транснефть-Верхняя Волга"</t>
  </si>
  <si>
    <t>5260900725</t>
  </si>
  <si>
    <t>622802001</t>
  </si>
  <si>
    <t>31905657</t>
  </si>
  <si>
    <t xml:space="preserve">АО "ДРУЖБА"</t>
  </si>
  <si>
    <t>6234093080</t>
  </si>
  <si>
    <t>167501001</t>
  </si>
  <si>
    <t xml:space="preserve">07-07-2011 00:00:00</t>
  </si>
  <si>
    <t>26758277</t>
  </si>
  <si>
    <t xml:space="preserve">АО "Окское"</t>
  </si>
  <si>
    <t>6215000428</t>
  </si>
  <si>
    <t xml:space="preserve">09-10-2018 00:00:00</t>
  </si>
  <si>
    <t>26651649</t>
  </si>
  <si>
    <t xml:space="preserve">АО "Ухоловский молочный завод"</t>
  </si>
  <si>
    <t>6222000027</t>
  </si>
  <si>
    <t>28150745</t>
  </si>
  <si>
    <t xml:space="preserve">ГБУ РО "Касимовский ММЦ"</t>
  </si>
  <si>
    <t>6226001871</t>
  </si>
  <si>
    <t>26808802</t>
  </si>
  <si>
    <t xml:space="preserve">Горьковская дирекция по тепловодоснабжению структурное подразделение Центральной дирекции по тепловодоснабжению - филиала ОАО "РЖД"</t>
  </si>
  <si>
    <t>525745041</t>
  </si>
  <si>
    <t>26849569</t>
  </si>
  <si>
    <t xml:space="preserve">ЖСК "Зеленинские дворики"</t>
  </si>
  <si>
    <t>6229055258</t>
  </si>
  <si>
    <t>31650764</t>
  </si>
  <si>
    <t xml:space="preserve">ЖСК "Раменские дворики"</t>
  </si>
  <si>
    <t>6229058890</t>
  </si>
  <si>
    <t xml:space="preserve">22-08-2007 00:00:00</t>
  </si>
  <si>
    <t>28876347</t>
  </si>
  <si>
    <t xml:space="preserve">ЖСК "Ходынинские дворики"</t>
  </si>
  <si>
    <t>6229058900</t>
  </si>
  <si>
    <t>26759744</t>
  </si>
  <si>
    <t xml:space="preserve">ЗАО "Александровский ППР"</t>
  </si>
  <si>
    <t>6215001816</t>
  </si>
  <si>
    <t xml:space="preserve">05-03-2026 00:00:00</t>
  </si>
  <si>
    <t>26650414</t>
  </si>
  <si>
    <t xml:space="preserve">ЗАО "Победа"</t>
  </si>
  <si>
    <t>6202000773</t>
  </si>
  <si>
    <t>30988965</t>
  </si>
  <si>
    <t xml:space="preserve">ЗАО "Старый Завод"</t>
  </si>
  <si>
    <t>6220007549</t>
  </si>
  <si>
    <t>30376989</t>
  </si>
  <si>
    <t xml:space="preserve">ИП Сорокин А.В.</t>
  </si>
  <si>
    <t>622700976908</t>
  </si>
  <si>
    <t>26812367</t>
  </si>
  <si>
    <t xml:space="preserve">Куйбышевская дирекция по эксплуатации зданий и сооружений - структурное подразделение Куйбышевской железной дороги - филиала ОАО "РЖД"</t>
  </si>
  <si>
    <t>631145075</t>
  </si>
  <si>
    <t>30880562</t>
  </si>
  <si>
    <t xml:space="preserve">МКП "Водоканал-Пителинский"</t>
  </si>
  <si>
    <t>6210001308</t>
  </si>
  <si>
    <t>621001001</t>
  </si>
  <si>
    <t xml:space="preserve">11-11-2016 00:00:00</t>
  </si>
  <si>
    <t>31151844</t>
  </si>
  <si>
    <t xml:space="preserve">МКП "Водосток"</t>
  </si>
  <si>
    <t>6220010196</t>
  </si>
  <si>
    <t xml:space="preserve">11-05-2018 00:00:00</t>
  </si>
  <si>
    <t>31311310</t>
  </si>
  <si>
    <t xml:space="preserve">МКП "Гусевское ЖКХ"</t>
  </si>
  <si>
    <t>6204009443</t>
  </si>
  <si>
    <t xml:space="preserve">07-12-2018 00:00:00</t>
  </si>
  <si>
    <t>31339158</t>
  </si>
  <si>
    <t xml:space="preserve">МКП "Елатомское ЖКХ"</t>
  </si>
  <si>
    <t>6204009468</t>
  </si>
  <si>
    <t xml:space="preserve">13-02-2019 00:00:00</t>
  </si>
  <si>
    <t xml:space="preserve">26-03-2026 00:00:00</t>
  </si>
  <si>
    <t>31230276</t>
  </si>
  <si>
    <t xml:space="preserve">МКП "ЖКХ Ермишинское"</t>
  </si>
  <si>
    <t>6201003179</t>
  </si>
  <si>
    <t>620101001</t>
  </si>
  <si>
    <t xml:space="preserve">04-10-2018 00:00:00</t>
  </si>
  <si>
    <t>31041387</t>
  </si>
  <si>
    <t xml:space="preserve">МКП "ЖКХ Истьинское"</t>
  </si>
  <si>
    <t>6221004237</t>
  </si>
  <si>
    <t xml:space="preserve">14-11-2017 00:00:00</t>
  </si>
  <si>
    <t>31280393</t>
  </si>
  <si>
    <t xml:space="preserve">МКП "ЖКХ Кадомское"</t>
  </si>
  <si>
    <t>6203003199</t>
  </si>
  <si>
    <t>620301001</t>
  </si>
  <si>
    <t xml:space="preserve">13-12-2018 00:00:00</t>
  </si>
  <si>
    <t>26653308</t>
  </si>
  <si>
    <t xml:space="preserve">МКП "Ижевское коммунальное хозяйство"</t>
  </si>
  <si>
    <t>6220007411</t>
  </si>
  <si>
    <t>31108499</t>
  </si>
  <si>
    <t xml:space="preserve">МКП "Касимовское ЖКХ"</t>
  </si>
  <si>
    <t>6204009411</t>
  </si>
  <si>
    <t xml:space="preserve">16-04-2018 00:00:00</t>
  </si>
  <si>
    <t>31450871</t>
  </si>
  <si>
    <t xml:space="preserve">МКП "Кораблиносервис"</t>
  </si>
  <si>
    <t>6206005490</t>
  </si>
  <si>
    <t xml:space="preserve">18-02-2020 00:00:00</t>
  </si>
  <si>
    <t>28267027</t>
  </si>
  <si>
    <t xml:space="preserve">МКП "Кораблинская транспортная компания"</t>
  </si>
  <si>
    <t>6206003479</t>
  </si>
  <si>
    <t>31777009</t>
  </si>
  <si>
    <t xml:space="preserve">МКП "Ряжский Водоканал"</t>
  </si>
  <si>
    <t>6200006385</t>
  </si>
  <si>
    <t xml:space="preserve">17-07-2024 00:00:00</t>
  </si>
  <si>
    <t>31304503</t>
  </si>
  <si>
    <t xml:space="preserve">МКП "Скопинские водные системы"</t>
  </si>
  <si>
    <t>6233007433</t>
  </si>
  <si>
    <t xml:space="preserve">15-01-2019 00:00:00</t>
  </si>
  <si>
    <t>31913059</t>
  </si>
  <si>
    <t xml:space="preserve">МКП "Старожилово-Водоканал"</t>
  </si>
  <si>
    <t>6200020252</t>
  </si>
  <si>
    <t xml:space="preserve">26-12-2025 00:00:00</t>
  </si>
  <si>
    <t>31696089</t>
  </si>
  <si>
    <t xml:space="preserve">МКП "Старожиловское ЖКХ"</t>
  </si>
  <si>
    <t>6219009020</t>
  </si>
  <si>
    <t xml:space="preserve">18-05-2023 00:00:00</t>
  </si>
  <si>
    <t>31503781</t>
  </si>
  <si>
    <t xml:space="preserve">МКП "ТУМСКОЕ"</t>
  </si>
  <si>
    <t>6205000940</t>
  </si>
  <si>
    <t xml:space="preserve">26-02-2021 00:00:00</t>
  </si>
  <si>
    <t>31419747</t>
  </si>
  <si>
    <t xml:space="preserve">МКП "Центр услуг"</t>
  </si>
  <si>
    <t>6209004047</t>
  </si>
  <si>
    <t xml:space="preserve">13-08-2019 00:00:00</t>
  </si>
  <si>
    <t>30934802</t>
  </si>
  <si>
    <t xml:space="preserve">МКП «ЖКХ Рязанский Водоканал» муниципального образования – Рязанский муниципальный район Рязанской области</t>
  </si>
  <si>
    <t>6215031271</t>
  </si>
  <si>
    <t xml:space="preserve">04-05-2017 00:00:00</t>
  </si>
  <si>
    <t>26536576</t>
  </si>
  <si>
    <t xml:space="preserve">МКП ЖКХ "Сельское"</t>
  </si>
  <si>
    <t>6224005380</t>
  </si>
  <si>
    <t>31225384</t>
  </si>
  <si>
    <t xml:space="preserve">МОУ Кадомская СШ им.С.Я.Батышева</t>
  </si>
  <si>
    <t>6203001755</t>
  </si>
  <si>
    <t>26374788</t>
  </si>
  <si>
    <t xml:space="preserve">МП "Водоканал города Рязани"</t>
  </si>
  <si>
    <t>6227004811</t>
  </si>
  <si>
    <t>26381028</t>
  </si>
  <si>
    <t xml:space="preserve">МП "Новомичуринский водоканал"</t>
  </si>
  <si>
    <t>6211004809</t>
  </si>
  <si>
    <t>26359348</t>
  </si>
  <si>
    <t xml:space="preserve">МУ МПЖКХ Гусь-Железный</t>
  </si>
  <si>
    <t>6204000137</t>
  </si>
  <si>
    <t xml:space="preserve">03-11-2016 00:00:00</t>
  </si>
  <si>
    <t>26650689</t>
  </si>
  <si>
    <t xml:space="preserve">МУП "Водоканал" (г.Касимов)</t>
  </si>
  <si>
    <t>6226009817</t>
  </si>
  <si>
    <t>27726253</t>
  </si>
  <si>
    <t xml:space="preserve">МУП "Скопинский комплекс водных систем"</t>
  </si>
  <si>
    <t>6233003608</t>
  </si>
  <si>
    <t>31910718</t>
  </si>
  <si>
    <t xml:space="preserve">Михайловский филиал АО "ЦЕМРОС"</t>
  </si>
  <si>
    <t>7708117908</t>
  </si>
  <si>
    <t>620043001</t>
  </si>
  <si>
    <t xml:space="preserve">20-05-2025 00:00:00</t>
  </si>
  <si>
    <t>28466542</t>
  </si>
  <si>
    <t xml:space="preserve">ОАО "Ряжский элеватор"</t>
  </si>
  <si>
    <t>6214000030</t>
  </si>
  <si>
    <t>26651860</t>
  </si>
  <si>
    <t xml:space="preserve">ОАО "Управление жилыми домами"</t>
  </si>
  <si>
    <t>6208009910</t>
  </si>
  <si>
    <t>30380363</t>
  </si>
  <si>
    <t xml:space="preserve">ООО "АРТТЕХНОЛОДЖИ"</t>
  </si>
  <si>
    <t>6226011870</t>
  </si>
  <si>
    <t xml:space="preserve">10-06-2016 00:00:00</t>
  </si>
  <si>
    <t>26851376</t>
  </si>
  <si>
    <t xml:space="preserve">ООО "Агрозернотрейд"</t>
  </si>
  <si>
    <t>6215015216</t>
  </si>
  <si>
    <t>31489124</t>
  </si>
  <si>
    <t xml:space="preserve">ООО "Агромилк"</t>
  </si>
  <si>
    <t>6224006761</t>
  </si>
  <si>
    <t xml:space="preserve">15-02-2016 00:00:00</t>
  </si>
  <si>
    <t>27534574</t>
  </si>
  <si>
    <t xml:space="preserve">ООО "Водоресурс"</t>
  </si>
  <si>
    <t>7701566446</t>
  </si>
  <si>
    <t xml:space="preserve">13-01-2011 00:00:00</t>
  </si>
  <si>
    <t>26374794</t>
  </si>
  <si>
    <t xml:space="preserve">ООО "Водстрой"</t>
  </si>
  <si>
    <t>6230009369</t>
  </si>
  <si>
    <t>26851887</t>
  </si>
  <si>
    <t xml:space="preserve">ООО "Елатьмасервис"</t>
  </si>
  <si>
    <t>6204007069</t>
  </si>
  <si>
    <t>28467508</t>
  </si>
  <si>
    <t xml:space="preserve">ООО "Жилсервис Плюс"</t>
  </si>
  <si>
    <t>6218006259</t>
  </si>
  <si>
    <t>27502114</t>
  </si>
  <si>
    <t xml:space="preserve">ООО "ЗАРЕЧЬЕ"</t>
  </si>
  <si>
    <t>6204006072</t>
  </si>
  <si>
    <t xml:space="preserve">13-07-2005 00:00:00</t>
  </si>
  <si>
    <t>31281020</t>
  </si>
  <si>
    <t xml:space="preserve">ООО "Завод точного литья"</t>
  </si>
  <si>
    <t>6234181970</t>
  </si>
  <si>
    <t xml:space="preserve">06-02-2019 00:00:00</t>
  </si>
  <si>
    <t>28458532</t>
  </si>
  <si>
    <t xml:space="preserve">ООО "Заречное"</t>
  </si>
  <si>
    <t>6218006266</t>
  </si>
  <si>
    <t>26650406</t>
  </si>
  <si>
    <t xml:space="preserve">ООО "Захаровское ЖКХ"</t>
  </si>
  <si>
    <t>6202004810</t>
  </si>
  <si>
    <t>31856907</t>
  </si>
  <si>
    <t xml:space="preserve">ООО "Источник 75"</t>
  </si>
  <si>
    <t>6200014467</t>
  </si>
  <si>
    <t xml:space="preserve">26-05-2025 00:00:00</t>
  </si>
  <si>
    <t>26848688</t>
  </si>
  <si>
    <t xml:space="preserve">ООО "КЛЁН"</t>
  </si>
  <si>
    <t>6224005581</t>
  </si>
  <si>
    <t xml:space="preserve">22-10-2008 00:00:00</t>
  </si>
  <si>
    <t>31578561</t>
  </si>
  <si>
    <t xml:space="preserve">ООО "Калининское"</t>
  </si>
  <si>
    <t>6219008322</t>
  </si>
  <si>
    <t xml:space="preserve">21-12-2021 00:00:00</t>
  </si>
  <si>
    <t>30476966</t>
  </si>
  <si>
    <t xml:space="preserve">ООО "Комфорт-Сервис"</t>
  </si>
  <si>
    <t>6225010351</t>
  </si>
  <si>
    <t>26374763</t>
  </si>
  <si>
    <t xml:space="preserve">ООО "Малинищи"</t>
  </si>
  <si>
    <t>6211004929</t>
  </si>
  <si>
    <t>28005020</t>
  </si>
  <si>
    <t xml:space="preserve">ООО "Милославский горнообогатительный комбинат"</t>
  </si>
  <si>
    <t>6207002968</t>
  </si>
  <si>
    <t>30377333</t>
  </si>
  <si>
    <t xml:space="preserve">ООО "Новое Семкино"</t>
  </si>
  <si>
    <t>6234068291</t>
  </si>
  <si>
    <t>28830201</t>
  </si>
  <si>
    <t xml:space="preserve">ООО "ОКА МОЛОКО"</t>
  </si>
  <si>
    <t>6223002073</t>
  </si>
  <si>
    <t>26814810</t>
  </si>
  <si>
    <t xml:space="preserve">ООО "Подлипкисервис"</t>
  </si>
  <si>
    <t>6204007630</t>
  </si>
  <si>
    <t>30917282</t>
  </si>
  <si>
    <t xml:space="preserve">ООО "Приокское"</t>
  </si>
  <si>
    <t>6204008182</t>
  </si>
  <si>
    <t>26653356</t>
  </si>
  <si>
    <t xml:space="preserve">ООО "Прогресс-Н"</t>
  </si>
  <si>
    <t>6204008087</t>
  </si>
  <si>
    <t>28461529</t>
  </si>
  <si>
    <t xml:space="preserve">ООО "Пронские коммунальные системы"</t>
  </si>
  <si>
    <t>6211008024</t>
  </si>
  <si>
    <t>26848708</t>
  </si>
  <si>
    <t xml:space="preserve">ООО "РАССВЕТ-1"</t>
  </si>
  <si>
    <t>6224004387</t>
  </si>
  <si>
    <t>27944904</t>
  </si>
  <si>
    <t xml:space="preserve">ООО "Ренессанс"</t>
  </si>
  <si>
    <t>6205004575</t>
  </si>
  <si>
    <t>26651935</t>
  </si>
  <si>
    <t xml:space="preserve">ООО "Рыбновский Водоканал"</t>
  </si>
  <si>
    <t>6213009513</t>
  </si>
  <si>
    <t>28466477</t>
  </si>
  <si>
    <t xml:space="preserve">ООО "Ряжский Водоканал"</t>
  </si>
  <si>
    <t>6214007276</t>
  </si>
  <si>
    <t>26650494</t>
  </si>
  <si>
    <t xml:space="preserve">ООО "Сменовское ЖКХ"</t>
  </si>
  <si>
    <t>6202005066</t>
  </si>
  <si>
    <t>31660421</t>
  </si>
  <si>
    <t xml:space="preserve">ООО "СтройАльянс"</t>
  </si>
  <si>
    <t>6234123143</t>
  </si>
  <si>
    <t xml:space="preserve">08-11-2013 00:00:00</t>
  </si>
  <si>
    <t>28006162</t>
  </si>
  <si>
    <t xml:space="preserve">ООО "СтройКом"</t>
  </si>
  <si>
    <t>6225009797</t>
  </si>
  <si>
    <t>27823227</t>
  </si>
  <si>
    <t xml:space="preserve">ООО "Стройдеталь"</t>
  </si>
  <si>
    <t>6220006753</t>
  </si>
  <si>
    <t>27584066</t>
  </si>
  <si>
    <t xml:space="preserve">ООО "Тырново-сервис"</t>
  </si>
  <si>
    <t>6211006965</t>
  </si>
  <si>
    <t>26815689</t>
  </si>
  <si>
    <t xml:space="preserve">ООО "УК "Рязанские областные коммунальные системы"</t>
  </si>
  <si>
    <t>6229039270</t>
  </si>
  <si>
    <t>26774556</t>
  </si>
  <si>
    <t xml:space="preserve">ООО "Управдом р.п. Александро-Невский"</t>
  </si>
  <si>
    <t>6209003460</t>
  </si>
  <si>
    <t>26851289</t>
  </si>
  <si>
    <t xml:space="preserve">ООО "Управдом" (р.п. Кадом)</t>
  </si>
  <si>
    <t>6203002886</t>
  </si>
  <si>
    <t xml:space="preserve">11-12-2008 00:00:00</t>
  </si>
  <si>
    <t>26374796</t>
  </si>
  <si>
    <t xml:space="preserve">ООО "Чистые воды"</t>
  </si>
  <si>
    <t>6231005695</t>
  </si>
  <si>
    <t>28876860</t>
  </si>
  <si>
    <t xml:space="preserve">ООО "Чучково"</t>
  </si>
  <si>
    <t>6223002330</t>
  </si>
  <si>
    <t>30403145</t>
  </si>
  <si>
    <t xml:space="preserve">ООО "Эллада"</t>
  </si>
  <si>
    <t>6229047842</t>
  </si>
  <si>
    <t>26381053</t>
  </si>
  <si>
    <t xml:space="preserve">ООО Санаторий "Солотча"</t>
  </si>
  <si>
    <t>6231037506</t>
  </si>
  <si>
    <t>30985287</t>
  </si>
  <si>
    <t xml:space="preserve">ООО им.Алексашина</t>
  </si>
  <si>
    <t>6202002971</t>
  </si>
  <si>
    <t>30958329</t>
  </si>
  <si>
    <t xml:space="preserve">Ордена Трудового Красного Знамени колхоз "Вперёд"</t>
  </si>
  <si>
    <t>6224000336</t>
  </si>
  <si>
    <t>26374792</t>
  </si>
  <si>
    <t xml:space="preserve">ПАО "Тяжпрессмаш"</t>
  </si>
  <si>
    <t>6229009163</t>
  </si>
  <si>
    <t>31296529</t>
  </si>
  <si>
    <t xml:space="preserve">ФГБНУ "ФНЦ пчеловодства"</t>
  </si>
  <si>
    <t>6213000373</t>
  </si>
  <si>
    <t>31833467</t>
  </si>
  <si>
    <t xml:space="preserve">ФГБОУ ВО РязГМУ Минздрава России</t>
  </si>
  <si>
    <t>6228013199</t>
  </si>
  <si>
    <t xml:space="preserve">27-07-1992 00:00:00</t>
  </si>
  <si>
    <t>26759771</t>
  </si>
  <si>
    <t xml:space="preserve">ФКУ ИК-6 УФСИН России по Рязанской области</t>
  </si>
  <si>
    <t>6215002168</t>
  </si>
  <si>
    <t xml:space="preserve">17-05-2011 00:00:00</t>
  </si>
  <si>
    <t>28458602</t>
  </si>
  <si>
    <t xml:space="preserve">колхоз "Шелковской"</t>
  </si>
  <si>
    <t>6221000151</t>
  </si>
  <si>
    <t>26773431</t>
  </si>
  <si>
    <t xml:space="preserve">колхоз (СПК им.Ленина)</t>
  </si>
  <si>
    <t>6221000465</t>
  </si>
  <si>
    <t>26848802</t>
  </si>
  <si>
    <t xml:space="preserve">АО "Елатомский приборный завод"</t>
  </si>
  <si>
    <t>6204001412</t>
  </si>
  <si>
    <t>31754087</t>
  </si>
  <si>
    <t xml:space="preserve">АО "Корпорация развития Рязанской области"</t>
  </si>
  <si>
    <t>6234106885</t>
  </si>
  <si>
    <t xml:space="preserve">31-08-2012 00:00:00</t>
  </si>
  <si>
    <t>31041382</t>
  </si>
  <si>
    <t xml:space="preserve">АО "Рязанский свинокомплекс"</t>
  </si>
  <si>
    <t>6215008716</t>
  </si>
  <si>
    <t>31748384</t>
  </si>
  <si>
    <t xml:space="preserve">МКП "Водоотведение"</t>
  </si>
  <si>
    <t>6200001683</t>
  </si>
  <si>
    <t xml:space="preserve">23-01-2024 00:00:00</t>
  </si>
  <si>
    <t>26552441</t>
  </si>
  <si>
    <t xml:space="preserve">ООО "Агромолкомбинат "Рязанский"</t>
  </si>
  <si>
    <t>6234006538</t>
  </si>
  <si>
    <t>27534562</t>
  </si>
  <si>
    <t xml:space="preserve">ООО "Водосток"</t>
  </si>
  <si>
    <t>5321067430</t>
  </si>
  <si>
    <t xml:space="preserve">29-12-2010 00:00:00</t>
  </si>
  <si>
    <t>30988148</t>
  </si>
  <si>
    <t xml:space="preserve">ООО "Металлургический Завод "КАРЦЕНТО"</t>
  </si>
  <si>
    <t>6234109519</t>
  </si>
  <si>
    <t xml:space="preserve">14-11-2012 00:00:00</t>
  </si>
  <si>
    <t>28006194</t>
  </si>
  <si>
    <t xml:space="preserve">ООО "Русвата"</t>
  </si>
  <si>
    <t>6229064929</t>
  </si>
  <si>
    <t>26650815</t>
  </si>
  <si>
    <t xml:space="preserve">ООО "Чистый берег"</t>
  </si>
  <si>
    <t>7728741688</t>
  </si>
  <si>
    <t>31756471</t>
  </si>
  <si>
    <t xml:space="preserve">АО "Рязанский ПЭК"</t>
  </si>
  <si>
    <t>6230075266</t>
  </si>
  <si>
    <t xml:space="preserve">13-10-2011 00:00:00</t>
  </si>
  <si>
    <t>31005989</t>
  </si>
  <si>
    <t xml:space="preserve">АО "Рязанский Скарабей"</t>
  </si>
  <si>
    <t>6231043242</t>
  </si>
  <si>
    <t>31323044</t>
  </si>
  <si>
    <t xml:space="preserve">ИП Булыгин Юрий Андреевич</t>
  </si>
  <si>
    <t>622701611385</t>
  </si>
  <si>
    <t>31707623</t>
  </si>
  <si>
    <t xml:space="preserve">ИП Кулешов Александр Сергеевич</t>
  </si>
  <si>
    <t>622999922092</t>
  </si>
  <si>
    <t xml:space="preserve">18-04-2017 00:00:00</t>
  </si>
  <si>
    <t>31707589</t>
  </si>
  <si>
    <t xml:space="preserve">ИП Кулешов Сергей Анатольевич</t>
  </si>
  <si>
    <t>622708348736</t>
  </si>
  <si>
    <t xml:space="preserve">17-09-2021 00:00:00</t>
  </si>
  <si>
    <t>31746715</t>
  </si>
  <si>
    <t xml:space="preserve">ИП Хубутия Лилия Рудиковна</t>
  </si>
  <si>
    <t>622709341557</t>
  </si>
  <si>
    <t xml:space="preserve">30-09-2020 00:00:00</t>
  </si>
  <si>
    <t>28142184</t>
  </si>
  <si>
    <t xml:space="preserve">ООО "Благоустройство"</t>
  </si>
  <si>
    <t>6208011203</t>
  </si>
  <si>
    <t>28461407</t>
  </si>
  <si>
    <t xml:space="preserve">ООО "ДСУ"Ново-Деревенское"</t>
  </si>
  <si>
    <t>6209003269</t>
  </si>
  <si>
    <t>26651820</t>
  </si>
  <si>
    <t xml:space="preserve">ООО "Жилсервис-Пителино"</t>
  </si>
  <si>
    <t>6210002622</t>
  </si>
  <si>
    <t>28142620</t>
  </si>
  <si>
    <t xml:space="preserve">ООО "Золотое тавро"</t>
  </si>
  <si>
    <t>6220008253</t>
  </si>
  <si>
    <t>31697247</t>
  </si>
  <si>
    <t xml:space="preserve">ООО "К-СК "Дягилево"</t>
  </si>
  <si>
    <t>6234139457</t>
  </si>
  <si>
    <t xml:space="preserve">29-12-2014 00:00:00</t>
  </si>
  <si>
    <t>28142192</t>
  </si>
  <si>
    <t xml:space="preserve">ООО "Метком"</t>
  </si>
  <si>
    <t>6232007494</t>
  </si>
  <si>
    <t xml:space="preserve">14-04-2009 00:00:00</t>
  </si>
  <si>
    <t>26781390</t>
  </si>
  <si>
    <t xml:space="preserve">ООО "Полигон"</t>
  </si>
  <si>
    <t>6221003480</t>
  </si>
  <si>
    <t xml:space="preserve">22-09-2010 00:00:00</t>
  </si>
  <si>
    <t>31773230</t>
  </si>
  <si>
    <t xml:space="preserve">ООО "Рязанский ЭКОТЕХНОПАРК"</t>
  </si>
  <si>
    <t>6234189786</t>
  </si>
  <si>
    <t xml:space="preserve">13-04-2020 00:00:00</t>
  </si>
  <si>
    <t>31697404</t>
  </si>
  <si>
    <t xml:space="preserve">ООО "Спецавтобаза по уборке города"</t>
  </si>
  <si>
    <t>6234041652</t>
  </si>
  <si>
    <t xml:space="preserve">25-06-2007 00:00:00</t>
  </si>
  <si>
    <t>31698475</t>
  </si>
  <si>
    <t xml:space="preserve">ООО "Спецмаш"</t>
  </si>
  <si>
    <t>7724492744</t>
  </si>
  <si>
    <t>772401001</t>
  </si>
  <si>
    <t>31697398</t>
  </si>
  <si>
    <t xml:space="preserve">ООО "Спецпромсервис"</t>
  </si>
  <si>
    <t>6231054798</t>
  </si>
  <si>
    <t xml:space="preserve">17-10-2002 00:00:00</t>
  </si>
  <si>
    <t>28421012</t>
  </si>
  <si>
    <t xml:space="preserve">ООО "Стимул"</t>
  </si>
  <si>
    <t>6216002121</t>
  </si>
  <si>
    <t xml:space="preserve">29-11-2012 00:00:00</t>
  </si>
  <si>
    <t>28485849</t>
  </si>
  <si>
    <t xml:space="preserve">ООО "Утилизация"</t>
  </si>
  <si>
    <t>6226011380</t>
  </si>
  <si>
    <t>27583895</t>
  </si>
  <si>
    <t xml:space="preserve">ООО "Эко-Пронск"</t>
  </si>
  <si>
    <t>6211007461</t>
  </si>
  <si>
    <t xml:space="preserve">16-11-2010 00:00:00</t>
  </si>
  <si>
    <t>30355472</t>
  </si>
  <si>
    <t xml:space="preserve">ООО "Экосервис"</t>
  </si>
  <si>
    <t>6214007445</t>
  </si>
  <si>
    <t xml:space="preserve">15-04-2015 00:00:00</t>
  </si>
  <si>
    <t>NSRF</t>
  </si>
  <si>
    <t>MR_NAME</t>
  </si>
  <si>
    <t>OKTMO_MR_NAME</t>
  </si>
  <si>
    <t>MO_NAME</t>
  </si>
  <si>
    <t>OKTMO_NAME</t>
  </si>
  <si>
    <t>TYPE</t>
  </si>
  <si>
    <t>MR_ID</t>
  </si>
  <si>
    <t xml:space="preserve">Александро-Невский муниципальный округ</t>
  </si>
  <si>
    <t>61520000</t>
  </si>
  <si>
    <t xml:space="preserve">муниципальный округ</t>
  </si>
  <si>
    <t xml:space="preserve">Александро-Невский муниципальный район</t>
  </si>
  <si>
    <t>61620000</t>
  </si>
  <si>
    <t xml:space="preserve">муниципальный район</t>
  </si>
  <si>
    <t>Александро-Невское</t>
  </si>
  <si>
    <t>61620151</t>
  </si>
  <si>
    <t xml:space="preserve">городское поселение, в состав которого входит поселок</t>
  </si>
  <si>
    <t>Благовское</t>
  </si>
  <si>
    <t>61620405</t>
  </si>
  <si>
    <t xml:space="preserve">сельское поселение</t>
  </si>
  <si>
    <t>Борисовское</t>
  </si>
  <si>
    <t>61620410</t>
  </si>
  <si>
    <t>Каширинское</t>
  </si>
  <si>
    <t>61620450</t>
  </si>
  <si>
    <t>Нижнеякимецкое</t>
  </si>
  <si>
    <t>61620445</t>
  </si>
  <si>
    <t>Просеченское</t>
  </si>
  <si>
    <t>61620460</t>
  </si>
  <si>
    <t xml:space="preserve">Город Касимов</t>
  </si>
  <si>
    <t>61705000</t>
  </si>
  <si>
    <t xml:space="preserve">городской округ</t>
  </si>
  <si>
    <t xml:space="preserve">Город Рязань</t>
  </si>
  <si>
    <t>61701000</t>
  </si>
  <si>
    <t xml:space="preserve">Город Сасово</t>
  </si>
  <si>
    <t>61710000</t>
  </si>
  <si>
    <t xml:space="preserve">Город Скопин</t>
  </si>
  <si>
    <t>61715000</t>
  </si>
  <si>
    <t xml:space="preserve">Ермишинский муниципальный округ</t>
  </si>
  <si>
    <t>61502000</t>
  </si>
  <si>
    <t xml:space="preserve">Ермишинский муниципальный район</t>
  </si>
  <si>
    <t>61602000</t>
  </si>
  <si>
    <t>Азеевское</t>
  </si>
  <si>
    <t>61602405</t>
  </si>
  <si>
    <t>Ермишинское</t>
  </si>
  <si>
    <t>61602151</t>
  </si>
  <si>
    <t>Мердушинское</t>
  </si>
  <si>
    <t>61602425</t>
  </si>
  <si>
    <t>Надежкинское</t>
  </si>
  <si>
    <t>61602430</t>
  </si>
  <si>
    <t>Нарминское</t>
  </si>
  <si>
    <t>61602435</t>
  </si>
  <si>
    <t>Савватемское</t>
  </si>
  <si>
    <t>61602440</t>
  </si>
  <si>
    <t xml:space="preserve">Захаровский муниципальный округ</t>
  </si>
  <si>
    <t>61504000</t>
  </si>
  <si>
    <t xml:space="preserve">Захаровский муниципальный район</t>
  </si>
  <si>
    <t>61604000</t>
  </si>
  <si>
    <t>Безлыченское</t>
  </si>
  <si>
    <t>61604412</t>
  </si>
  <si>
    <t>Большекоровинское</t>
  </si>
  <si>
    <t>61604415</t>
  </si>
  <si>
    <t>Добро-Пчельское</t>
  </si>
  <si>
    <t>61604430</t>
  </si>
  <si>
    <t>Елинское</t>
  </si>
  <si>
    <t>61604432</t>
  </si>
  <si>
    <t>Захаровское</t>
  </si>
  <si>
    <t>61604440</t>
  </si>
  <si>
    <t>Плахинское</t>
  </si>
  <si>
    <t>61604465</t>
  </si>
  <si>
    <t>Сменовское</t>
  </si>
  <si>
    <t>61604425</t>
  </si>
  <si>
    <t xml:space="preserve">Кадомский муниципальный округ</t>
  </si>
  <si>
    <t>61506000</t>
  </si>
  <si>
    <t xml:space="preserve">Кадомский муниципальный район</t>
  </si>
  <si>
    <t>61606000</t>
  </si>
  <si>
    <t>Восходское</t>
  </si>
  <si>
    <t>61606405</t>
  </si>
  <si>
    <t>Енкаевское</t>
  </si>
  <si>
    <t>61606410</t>
  </si>
  <si>
    <t>Кадомское</t>
  </si>
  <si>
    <t>61606151</t>
  </si>
  <si>
    <t>Котелинское</t>
  </si>
  <si>
    <t>61606420</t>
  </si>
  <si>
    <t>Кущапинское</t>
  </si>
  <si>
    <t>61606430</t>
  </si>
  <si>
    <t xml:space="preserve">Касимовский муниципальный округ</t>
  </si>
  <si>
    <t>61508000</t>
  </si>
  <si>
    <t xml:space="preserve">Касимовский муниципальный район</t>
  </si>
  <si>
    <t>61608000</t>
  </si>
  <si>
    <t>Ардабьевское</t>
  </si>
  <si>
    <t>61608403</t>
  </si>
  <si>
    <t>Ахматовское</t>
  </si>
  <si>
    <t>61608406</t>
  </si>
  <si>
    <t>Булгаковское</t>
  </si>
  <si>
    <t>61608439</t>
  </si>
  <si>
    <t>Гиблицкое</t>
  </si>
  <si>
    <t>61608418</t>
  </si>
  <si>
    <t>Гусевское</t>
  </si>
  <si>
    <t>61608154</t>
  </si>
  <si>
    <t>Дмитриевское</t>
  </si>
  <si>
    <t>61608421</t>
  </si>
  <si>
    <t>Елатомское</t>
  </si>
  <si>
    <t>61608156</t>
  </si>
  <si>
    <t>Ермоловское</t>
  </si>
  <si>
    <t>61608424</t>
  </si>
  <si>
    <t>Ибердусское</t>
  </si>
  <si>
    <t>61608430</t>
  </si>
  <si>
    <t>Китовское</t>
  </si>
  <si>
    <t>61608433</t>
  </si>
  <si>
    <t>Клетинское</t>
  </si>
  <si>
    <t>61608434</t>
  </si>
  <si>
    <t>Которовское</t>
  </si>
  <si>
    <t>61608442</t>
  </si>
  <si>
    <t>Крутоярское</t>
  </si>
  <si>
    <t>61608453</t>
  </si>
  <si>
    <t>Лашманское</t>
  </si>
  <si>
    <t>61608454</t>
  </si>
  <si>
    <t>Лощининское</t>
  </si>
  <si>
    <t>61608471</t>
  </si>
  <si>
    <t>Новодеревенское</t>
  </si>
  <si>
    <t>61608456</t>
  </si>
  <si>
    <t>Овчинниковское</t>
  </si>
  <si>
    <t>61608459</t>
  </si>
  <si>
    <t>Первинское</t>
  </si>
  <si>
    <t>61608462</t>
  </si>
  <si>
    <t>Погостинское</t>
  </si>
  <si>
    <t>61608465</t>
  </si>
  <si>
    <t>Савостьяновское</t>
  </si>
  <si>
    <t>61608468</t>
  </si>
  <si>
    <t>Сынтульское</t>
  </si>
  <si>
    <t>61608160</t>
  </si>
  <si>
    <t>Токаревское</t>
  </si>
  <si>
    <t>61608474</t>
  </si>
  <si>
    <t>60</t>
  </si>
  <si>
    <t>Торбаевское</t>
  </si>
  <si>
    <t>61608412</t>
  </si>
  <si>
    <t>61</t>
  </si>
  <si>
    <t>Шостьинское</t>
  </si>
  <si>
    <t>61608480</t>
  </si>
  <si>
    <t>62</t>
  </si>
  <si>
    <t xml:space="preserve">Клепиковский муниципальный округ</t>
  </si>
  <si>
    <t>61510000</t>
  </si>
  <si>
    <t>63</t>
  </si>
  <si>
    <t xml:space="preserve">Клепиковский муниципальный район</t>
  </si>
  <si>
    <t>61610000</t>
  </si>
  <si>
    <t>Алексеевское</t>
  </si>
  <si>
    <t>61610403</t>
  </si>
  <si>
    <t>64</t>
  </si>
  <si>
    <t>Болоньское</t>
  </si>
  <si>
    <t>61610415</t>
  </si>
  <si>
    <t>65</t>
  </si>
  <si>
    <t>Бусаевское</t>
  </si>
  <si>
    <t>61610418</t>
  </si>
  <si>
    <t>Екшурское</t>
  </si>
  <si>
    <t>61610451</t>
  </si>
  <si>
    <t>67</t>
  </si>
  <si>
    <t>Колесниковское</t>
  </si>
  <si>
    <t>61610448</t>
  </si>
  <si>
    <t>69</t>
  </si>
  <si>
    <t>Криушинское</t>
  </si>
  <si>
    <t>61610454</t>
  </si>
  <si>
    <t>70</t>
  </si>
  <si>
    <t>Молькинское</t>
  </si>
  <si>
    <t>61610475</t>
  </si>
  <si>
    <t>71</t>
  </si>
  <si>
    <t>Ненашкинское</t>
  </si>
  <si>
    <t>61610487</t>
  </si>
  <si>
    <t>72</t>
  </si>
  <si>
    <t>Оськинское</t>
  </si>
  <si>
    <t>61610472</t>
  </si>
  <si>
    <t>73</t>
  </si>
  <si>
    <t>Спас-Клепиковское</t>
  </si>
  <si>
    <t>61610101</t>
  </si>
  <si>
    <t xml:space="preserve">городское поселение, в состав которого входит город</t>
  </si>
  <si>
    <t>74</t>
  </si>
  <si>
    <t>Тумское</t>
  </si>
  <si>
    <t>61610154</t>
  </si>
  <si>
    <t>75</t>
  </si>
  <si>
    <t>Уткинское</t>
  </si>
  <si>
    <t>61610421</t>
  </si>
  <si>
    <t>76</t>
  </si>
  <si>
    <t xml:space="preserve">Кораблинский муниципальный округ</t>
  </si>
  <si>
    <t>61512000</t>
  </si>
  <si>
    <t>77</t>
  </si>
  <si>
    <t xml:space="preserve">Кораблинский муниципальный район</t>
  </si>
  <si>
    <t>61612000</t>
  </si>
  <si>
    <t>Бобровинское</t>
  </si>
  <si>
    <t>61612408</t>
  </si>
  <si>
    <t>78</t>
  </si>
  <si>
    <t>Кипчаковское</t>
  </si>
  <si>
    <t>61612424</t>
  </si>
  <si>
    <t>79</t>
  </si>
  <si>
    <t>Ключанское</t>
  </si>
  <si>
    <t>61612428</t>
  </si>
  <si>
    <t>80</t>
  </si>
  <si>
    <t>Ковалинское</t>
  </si>
  <si>
    <t>61612432</t>
  </si>
  <si>
    <t>81</t>
  </si>
  <si>
    <t>82</t>
  </si>
  <si>
    <t>Кораблинское</t>
  </si>
  <si>
    <t>61612101</t>
  </si>
  <si>
    <t>83</t>
  </si>
  <si>
    <t>Молвинослободское</t>
  </si>
  <si>
    <t>61612456</t>
  </si>
  <si>
    <t>84</t>
  </si>
  <si>
    <t>Незнановское</t>
  </si>
  <si>
    <t>61612448</t>
  </si>
  <si>
    <t>85</t>
  </si>
  <si>
    <t>Пехлецкое</t>
  </si>
  <si>
    <t>61612460</t>
  </si>
  <si>
    <t>86</t>
  </si>
  <si>
    <t>Пустотинское</t>
  </si>
  <si>
    <t>61612464</t>
  </si>
  <si>
    <t>87</t>
  </si>
  <si>
    <t>Яблоневское</t>
  </si>
  <si>
    <t>61612484</t>
  </si>
  <si>
    <t>88</t>
  </si>
  <si>
    <t xml:space="preserve">Милославский муниципальный округ</t>
  </si>
  <si>
    <t>61515000</t>
  </si>
  <si>
    <t>89</t>
  </si>
  <si>
    <t xml:space="preserve">Милославский муниципальный район</t>
  </si>
  <si>
    <t>61615000</t>
  </si>
  <si>
    <t>Богородицкое</t>
  </si>
  <si>
    <t>61615408</t>
  </si>
  <si>
    <t>90</t>
  </si>
  <si>
    <t>Большеподовечинское</t>
  </si>
  <si>
    <t>61615412</t>
  </si>
  <si>
    <t>91</t>
  </si>
  <si>
    <t>Горняцкое</t>
  </si>
  <si>
    <t>61615422</t>
  </si>
  <si>
    <t>92</t>
  </si>
  <si>
    <t>Кочуровское</t>
  </si>
  <si>
    <t>61615428</t>
  </si>
  <si>
    <t>93</t>
  </si>
  <si>
    <t>Липяговское</t>
  </si>
  <si>
    <t>61615432</t>
  </si>
  <si>
    <t>94</t>
  </si>
  <si>
    <t>95</t>
  </si>
  <si>
    <t>Павловское</t>
  </si>
  <si>
    <t>61615456</t>
  </si>
  <si>
    <t>96</t>
  </si>
  <si>
    <t>Центральное</t>
  </si>
  <si>
    <t>61615160</t>
  </si>
  <si>
    <t>97</t>
  </si>
  <si>
    <t>Чернавское</t>
  </si>
  <si>
    <t>61615472</t>
  </si>
  <si>
    <t>98</t>
  </si>
  <si>
    <t xml:space="preserve">городское поселение Милославское</t>
  </si>
  <si>
    <t>61615151</t>
  </si>
  <si>
    <t>99</t>
  </si>
  <si>
    <t xml:space="preserve">сельское поселение Милославское</t>
  </si>
  <si>
    <t>61615444</t>
  </si>
  <si>
    <t>100</t>
  </si>
  <si>
    <t xml:space="preserve">Михайловский муниципальный округ</t>
  </si>
  <si>
    <t>61517000</t>
  </si>
  <si>
    <t>101</t>
  </si>
  <si>
    <t xml:space="preserve">Михайловский муниципальный район</t>
  </si>
  <si>
    <t>61617000</t>
  </si>
  <si>
    <t>Виленское</t>
  </si>
  <si>
    <t>61617406</t>
  </si>
  <si>
    <t>102</t>
  </si>
  <si>
    <t>Голдинское</t>
  </si>
  <si>
    <t>61617412</t>
  </si>
  <si>
    <t>103</t>
  </si>
  <si>
    <t>Горностаевское</t>
  </si>
  <si>
    <t>61617415</t>
  </si>
  <si>
    <t>104</t>
  </si>
  <si>
    <t>Грязновское</t>
  </si>
  <si>
    <t>61617418</t>
  </si>
  <si>
    <t>105</t>
  </si>
  <si>
    <t>Жмуровское</t>
  </si>
  <si>
    <t>61617421</t>
  </si>
  <si>
    <t>106</t>
  </si>
  <si>
    <t>Каморинское</t>
  </si>
  <si>
    <t>61617433</t>
  </si>
  <si>
    <t>107</t>
  </si>
  <si>
    <t>Красновское</t>
  </si>
  <si>
    <t>61617439</t>
  </si>
  <si>
    <t>108</t>
  </si>
  <si>
    <t>109</t>
  </si>
  <si>
    <t>Михайловское</t>
  </si>
  <si>
    <t>61617101</t>
  </si>
  <si>
    <t>110</t>
  </si>
  <si>
    <t>Новопанское</t>
  </si>
  <si>
    <t>61617448</t>
  </si>
  <si>
    <t>111</t>
  </si>
  <si>
    <t>Октябрьское</t>
  </si>
  <si>
    <t>61617154</t>
  </si>
  <si>
    <t>112</t>
  </si>
  <si>
    <t>Поярковское</t>
  </si>
  <si>
    <t>61617457</t>
  </si>
  <si>
    <t>113</t>
  </si>
  <si>
    <t>Рачатниковское</t>
  </si>
  <si>
    <t>61617460</t>
  </si>
  <si>
    <t>114</t>
  </si>
  <si>
    <t>Слободское</t>
  </si>
  <si>
    <t>61617467</t>
  </si>
  <si>
    <t>115</t>
  </si>
  <si>
    <t>Стрелецко-Высельское</t>
  </si>
  <si>
    <t>61617470</t>
  </si>
  <si>
    <t>116</t>
  </si>
  <si>
    <t>Трепольское</t>
  </si>
  <si>
    <t>61617473</t>
  </si>
  <si>
    <t>117</t>
  </si>
  <si>
    <t>Чуриковское</t>
  </si>
  <si>
    <t>61617485</t>
  </si>
  <si>
    <t>118</t>
  </si>
  <si>
    <t>Щетининское</t>
  </si>
  <si>
    <t>61617491</t>
  </si>
  <si>
    <t>119</t>
  </si>
  <si>
    <t xml:space="preserve">Пителинский муниципальный округ</t>
  </si>
  <si>
    <t>61523000</t>
  </si>
  <si>
    <t>120</t>
  </si>
  <si>
    <t xml:space="preserve">Пителинский муниципальный район</t>
  </si>
  <si>
    <t>61623000</t>
  </si>
  <si>
    <t>Ермо-Николаевское</t>
  </si>
  <si>
    <t>61623420</t>
  </si>
  <si>
    <t>121</t>
  </si>
  <si>
    <t>Нестеровское</t>
  </si>
  <si>
    <t>61623425</t>
  </si>
  <si>
    <t>122</t>
  </si>
  <si>
    <t>Пеньковское</t>
  </si>
  <si>
    <t>61623435</t>
  </si>
  <si>
    <t>123</t>
  </si>
  <si>
    <t>124</t>
  </si>
  <si>
    <t>Пителинское</t>
  </si>
  <si>
    <t>61623151</t>
  </si>
  <si>
    <t>125</t>
  </si>
  <si>
    <t>Потапьевское</t>
  </si>
  <si>
    <t>61623450</t>
  </si>
  <si>
    <t>126</t>
  </si>
  <si>
    <t xml:space="preserve">Пронский муниципальный округ</t>
  </si>
  <si>
    <t>61525000</t>
  </si>
  <si>
    <t>127</t>
  </si>
  <si>
    <t>61625000</t>
  </si>
  <si>
    <t>Малинищинское</t>
  </si>
  <si>
    <t>61625435</t>
  </si>
  <si>
    <t>128</t>
  </si>
  <si>
    <t>Мамоновское</t>
  </si>
  <si>
    <t>61625440</t>
  </si>
  <si>
    <t>129</t>
  </si>
  <si>
    <t>61625445</t>
  </si>
  <si>
    <t>131</t>
  </si>
  <si>
    <t>Орловское</t>
  </si>
  <si>
    <t>61625450</t>
  </si>
  <si>
    <t>132</t>
  </si>
  <si>
    <t>Погореловское</t>
  </si>
  <si>
    <t>61625455</t>
  </si>
  <si>
    <t>133</t>
  </si>
  <si>
    <t>134</t>
  </si>
  <si>
    <t>Пронское</t>
  </si>
  <si>
    <t>61625151</t>
  </si>
  <si>
    <t>135</t>
  </si>
  <si>
    <t>Тырновское</t>
  </si>
  <si>
    <t>61625405</t>
  </si>
  <si>
    <t>136</t>
  </si>
  <si>
    <t xml:space="preserve">Путятинский муниципальный округ</t>
  </si>
  <si>
    <t>61526000</t>
  </si>
  <si>
    <t>137</t>
  </si>
  <si>
    <t xml:space="preserve">Путятинский муниципальный район</t>
  </si>
  <si>
    <t>61626000</t>
  </si>
  <si>
    <t>Береговское</t>
  </si>
  <si>
    <t>61626406</t>
  </si>
  <si>
    <t>138</t>
  </si>
  <si>
    <t>Большеекатериновское</t>
  </si>
  <si>
    <t>61626403</t>
  </si>
  <si>
    <t>139</t>
  </si>
  <si>
    <t>Карабухинское</t>
  </si>
  <si>
    <t>61626424</t>
  </si>
  <si>
    <t>140</t>
  </si>
  <si>
    <t>Песочинское</t>
  </si>
  <si>
    <t>61626432</t>
  </si>
  <si>
    <t>141</t>
  </si>
  <si>
    <t>142</t>
  </si>
  <si>
    <t>Путятинское</t>
  </si>
  <si>
    <t>61626436</t>
  </si>
  <si>
    <t>143</t>
  </si>
  <si>
    <t>Строевское</t>
  </si>
  <si>
    <t>61626412</t>
  </si>
  <si>
    <t>144</t>
  </si>
  <si>
    <t xml:space="preserve">Рыбновский муниципальный округ</t>
  </si>
  <si>
    <t>61527000</t>
  </si>
  <si>
    <t>145</t>
  </si>
  <si>
    <t xml:space="preserve">Рыбновский муниципальный район</t>
  </si>
  <si>
    <t>61627000</t>
  </si>
  <si>
    <t>Алешинское</t>
  </si>
  <si>
    <t>61627404</t>
  </si>
  <si>
    <t>146</t>
  </si>
  <si>
    <t>Баграмовское</t>
  </si>
  <si>
    <t>61627406</t>
  </si>
  <si>
    <t>147</t>
  </si>
  <si>
    <t>Батуринское</t>
  </si>
  <si>
    <t>61627408</t>
  </si>
  <si>
    <t>148</t>
  </si>
  <si>
    <t>Вакинское</t>
  </si>
  <si>
    <t>61627416</t>
  </si>
  <si>
    <t>149</t>
  </si>
  <si>
    <t>Глебковское</t>
  </si>
  <si>
    <t>61627418</t>
  </si>
  <si>
    <t>150</t>
  </si>
  <si>
    <t>Истобниковское</t>
  </si>
  <si>
    <t>61627424</t>
  </si>
  <si>
    <t>151</t>
  </si>
  <si>
    <t>Кузьминское</t>
  </si>
  <si>
    <t>61627436</t>
  </si>
  <si>
    <t>152</t>
  </si>
  <si>
    <t>Пионерское</t>
  </si>
  <si>
    <t>61627476</t>
  </si>
  <si>
    <t>153</t>
  </si>
  <si>
    <t>Пощуповское</t>
  </si>
  <si>
    <t>61627456</t>
  </si>
  <si>
    <t>154</t>
  </si>
  <si>
    <t>155</t>
  </si>
  <si>
    <t>Рыбновское</t>
  </si>
  <si>
    <t>61627101</t>
  </si>
  <si>
    <t>156</t>
  </si>
  <si>
    <t>Селецкое</t>
  </si>
  <si>
    <t>61627460</t>
  </si>
  <si>
    <t>157</t>
  </si>
  <si>
    <t>Ходынинское</t>
  </si>
  <si>
    <t>61627472</t>
  </si>
  <si>
    <t>158</t>
  </si>
  <si>
    <t>Чурилковское</t>
  </si>
  <si>
    <t>61627464</t>
  </si>
  <si>
    <t>159</t>
  </si>
  <si>
    <t xml:space="preserve">Ряжский муниципальный округ</t>
  </si>
  <si>
    <t>61530000</t>
  </si>
  <si>
    <t>160</t>
  </si>
  <si>
    <t xml:space="preserve">Ряжский муниципальный район</t>
  </si>
  <si>
    <t>61630000</t>
  </si>
  <si>
    <t>61630405</t>
  </si>
  <si>
    <t>161</t>
  </si>
  <si>
    <t>Дегтянское</t>
  </si>
  <si>
    <t>61630415</t>
  </si>
  <si>
    <t>162</t>
  </si>
  <si>
    <t>Журавинское</t>
  </si>
  <si>
    <t>61630420</t>
  </si>
  <si>
    <t>163</t>
  </si>
  <si>
    <t>Петровское</t>
  </si>
  <si>
    <t>61630450</t>
  </si>
  <si>
    <t>164</t>
  </si>
  <si>
    <t>Поплевинское</t>
  </si>
  <si>
    <t>61630460</t>
  </si>
  <si>
    <t>165</t>
  </si>
  <si>
    <t>166</t>
  </si>
  <si>
    <t>Ряжское</t>
  </si>
  <si>
    <t>61630101</t>
  </si>
  <si>
    <t>167</t>
  </si>
  <si>
    <t xml:space="preserve">Рязанский муниципальный округ</t>
  </si>
  <si>
    <t>61534000</t>
  </si>
  <si>
    <t>168</t>
  </si>
  <si>
    <t xml:space="preserve">Рязанский муниципальный район</t>
  </si>
  <si>
    <t>61634000</t>
  </si>
  <si>
    <t>Варсковское</t>
  </si>
  <si>
    <t>61634402</t>
  </si>
  <si>
    <t>169</t>
  </si>
  <si>
    <t>Высоковское</t>
  </si>
  <si>
    <t>61634409</t>
  </si>
  <si>
    <t>170</t>
  </si>
  <si>
    <t>Вышгородское</t>
  </si>
  <si>
    <t>61634412</t>
  </si>
  <si>
    <t>171</t>
  </si>
  <si>
    <t>Дубровическое</t>
  </si>
  <si>
    <t>61634427</t>
  </si>
  <si>
    <t>172</t>
  </si>
  <si>
    <t>Дядьковское</t>
  </si>
  <si>
    <t>61634430</t>
  </si>
  <si>
    <t>173</t>
  </si>
  <si>
    <t>Екимовское</t>
  </si>
  <si>
    <t>61634433</t>
  </si>
  <si>
    <t>174</t>
  </si>
  <si>
    <t>Заборьевское</t>
  </si>
  <si>
    <t>61634436</t>
  </si>
  <si>
    <t>175</t>
  </si>
  <si>
    <t>Заокское</t>
  </si>
  <si>
    <t>61634439</t>
  </si>
  <si>
    <t>176</t>
  </si>
  <si>
    <t>Искровское</t>
  </si>
  <si>
    <t>61634485</t>
  </si>
  <si>
    <t>177</t>
  </si>
  <si>
    <t>Листвянское</t>
  </si>
  <si>
    <t>61634457</t>
  </si>
  <si>
    <t>178</t>
  </si>
  <si>
    <t>Льговское</t>
  </si>
  <si>
    <t>61634460</t>
  </si>
  <si>
    <t>179</t>
  </si>
  <si>
    <t>Мурминское</t>
  </si>
  <si>
    <t>61634401</t>
  </si>
  <si>
    <t>180</t>
  </si>
  <si>
    <t>Окское</t>
  </si>
  <si>
    <t>61634475</t>
  </si>
  <si>
    <t>181</t>
  </si>
  <si>
    <t>Подвязьевское</t>
  </si>
  <si>
    <t>61634478</t>
  </si>
  <si>
    <t>182</t>
  </si>
  <si>
    <t>Полянское</t>
  </si>
  <si>
    <t>61634483</t>
  </si>
  <si>
    <t>183</t>
  </si>
  <si>
    <t>184</t>
  </si>
  <si>
    <t>Семеновское</t>
  </si>
  <si>
    <t>61634495</t>
  </si>
  <si>
    <t>185</t>
  </si>
  <si>
    <t>Турлатовское</t>
  </si>
  <si>
    <t>61634496</t>
  </si>
  <si>
    <t>186</t>
  </si>
  <si>
    <t>Тюшевское</t>
  </si>
  <si>
    <t>61634498</t>
  </si>
  <si>
    <t>187</t>
  </si>
  <si>
    <t xml:space="preserve">Сапожковский муниципальный округ</t>
  </si>
  <si>
    <t>61537000</t>
  </si>
  <si>
    <t>188</t>
  </si>
  <si>
    <t xml:space="preserve">Сапожковский муниципальный район</t>
  </si>
  <si>
    <t>61637000</t>
  </si>
  <si>
    <t>Березниковское</t>
  </si>
  <si>
    <t>61637435</t>
  </si>
  <si>
    <t>189</t>
  </si>
  <si>
    <t>Канинское</t>
  </si>
  <si>
    <t>61637410</t>
  </si>
  <si>
    <t>190</t>
  </si>
  <si>
    <t>Михеевское</t>
  </si>
  <si>
    <t>61637405</t>
  </si>
  <si>
    <t>191</t>
  </si>
  <si>
    <t>Морозово-Борковское</t>
  </si>
  <si>
    <t>61637430</t>
  </si>
  <si>
    <t>192</t>
  </si>
  <si>
    <t>193</t>
  </si>
  <si>
    <t>Сапожковское</t>
  </si>
  <si>
    <t>61637151</t>
  </si>
  <si>
    <t>194</t>
  </si>
  <si>
    <t xml:space="preserve">Сараевский муниципальный округ</t>
  </si>
  <si>
    <t>61540000</t>
  </si>
  <si>
    <t>195</t>
  </si>
  <si>
    <t xml:space="preserve">Сараевский муниципальный район</t>
  </si>
  <si>
    <t>61640000</t>
  </si>
  <si>
    <t>61640403</t>
  </si>
  <si>
    <t>196</t>
  </si>
  <si>
    <t>Борецкое</t>
  </si>
  <si>
    <t>61640412</t>
  </si>
  <si>
    <t>197</t>
  </si>
  <si>
    <t>Бычковское</t>
  </si>
  <si>
    <t>61640415</t>
  </si>
  <si>
    <t>198</t>
  </si>
  <si>
    <t>61640424</t>
  </si>
  <si>
    <t>199</t>
  </si>
  <si>
    <t>Желобовское</t>
  </si>
  <si>
    <t>61640430</t>
  </si>
  <si>
    <t>200</t>
  </si>
  <si>
    <t>Кривское</t>
  </si>
  <si>
    <t>61640436</t>
  </si>
  <si>
    <t>201</t>
  </si>
  <si>
    <t>Можарское</t>
  </si>
  <si>
    <t>61640442</t>
  </si>
  <si>
    <t>202</t>
  </si>
  <si>
    <t>Муравлянское</t>
  </si>
  <si>
    <t>61640448</t>
  </si>
  <si>
    <t>203</t>
  </si>
  <si>
    <t>Напольновское</t>
  </si>
  <si>
    <t>61640451</t>
  </si>
  <si>
    <t>204</t>
  </si>
  <si>
    <t>Новобокинское</t>
  </si>
  <si>
    <t>61640454</t>
  </si>
  <si>
    <t>205</t>
  </si>
  <si>
    <t>206</t>
  </si>
  <si>
    <t>Сараевское</t>
  </si>
  <si>
    <t>61640151</t>
  </si>
  <si>
    <t>207</t>
  </si>
  <si>
    <t>Сысоевское</t>
  </si>
  <si>
    <t>61640469</t>
  </si>
  <si>
    <t>208</t>
  </si>
  <si>
    <t>Телятниковское</t>
  </si>
  <si>
    <t>61640472</t>
  </si>
  <si>
    <t>209</t>
  </si>
  <si>
    <t>Ягодновское</t>
  </si>
  <si>
    <t>61640481</t>
  </si>
  <si>
    <t>210</t>
  </si>
  <si>
    <t xml:space="preserve">Сасовский муниципальный округ</t>
  </si>
  <si>
    <t>61542000</t>
  </si>
  <si>
    <t>211</t>
  </si>
  <si>
    <t xml:space="preserve">Сасовский муниципальный район</t>
  </si>
  <si>
    <t>61642000</t>
  </si>
  <si>
    <t>Агломазовское</t>
  </si>
  <si>
    <t>61642403</t>
  </si>
  <si>
    <t>212</t>
  </si>
  <si>
    <t>61642406</t>
  </si>
  <si>
    <t>213</t>
  </si>
  <si>
    <t>Батьковское</t>
  </si>
  <si>
    <t>61642415</t>
  </si>
  <si>
    <t>214</t>
  </si>
  <si>
    <t>Берестянское</t>
  </si>
  <si>
    <t>61642408</t>
  </si>
  <si>
    <t>215</t>
  </si>
  <si>
    <t>Гавриловское</t>
  </si>
  <si>
    <t>61642418</t>
  </si>
  <si>
    <t>216</t>
  </si>
  <si>
    <t>Глядковское</t>
  </si>
  <si>
    <t>61642420</t>
  </si>
  <si>
    <t>217</t>
  </si>
  <si>
    <t>Демушкинское</t>
  </si>
  <si>
    <t>61642466</t>
  </si>
  <si>
    <t>218</t>
  </si>
  <si>
    <t>Каргашинское</t>
  </si>
  <si>
    <t>61642424</t>
  </si>
  <si>
    <t>219</t>
  </si>
  <si>
    <t>Кустаревское</t>
  </si>
  <si>
    <t>61642433</t>
  </si>
  <si>
    <t>220</t>
  </si>
  <si>
    <t>Малостуденецкое</t>
  </si>
  <si>
    <t>61642439</t>
  </si>
  <si>
    <t>221</t>
  </si>
  <si>
    <t>Нижнемальцевское</t>
  </si>
  <si>
    <t>61642448</t>
  </si>
  <si>
    <t>222</t>
  </si>
  <si>
    <t>Новоберезовское</t>
  </si>
  <si>
    <t>61642454</t>
  </si>
  <si>
    <t>223</t>
  </si>
  <si>
    <t>Придорожное</t>
  </si>
  <si>
    <t>61642464</t>
  </si>
  <si>
    <t>224</t>
  </si>
  <si>
    <t>225</t>
  </si>
  <si>
    <t>Сотницынское</t>
  </si>
  <si>
    <t>61642470</t>
  </si>
  <si>
    <t>226</t>
  </si>
  <si>
    <t>Трудолюбовское</t>
  </si>
  <si>
    <t>61642463</t>
  </si>
  <si>
    <t>227</t>
  </si>
  <si>
    <t xml:space="preserve">Скопинский муниципальный округ</t>
  </si>
  <si>
    <t>61544000</t>
  </si>
  <si>
    <t>228</t>
  </si>
  <si>
    <t xml:space="preserve">Скопинский муниципальный район</t>
  </si>
  <si>
    <t>61644000</t>
  </si>
  <si>
    <t>Вослебовское</t>
  </si>
  <si>
    <t>61644412</t>
  </si>
  <si>
    <t>229</t>
  </si>
  <si>
    <t>Горловское</t>
  </si>
  <si>
    <t>61644415</t>
  </si>
  <si>
    <t>230</t>
  </si>
  <si>
    <t>Ильинское</t>
  </si>
  <si>
    <t>61644430</t>
  </si>
  <si>
    <t>231</t>
  </si>
  <si>
    <t>Корневское</t>
  </si>
  <si>
    <t>61644445</t>
  </si>
  <si>
    <t>232</t>
  </si>
  <si>
    <t>Павелецкое</t>
  </si>
  <si>
    <t>61644154</t>
  </si>
  <si>
    <t>233</t>
  </si>
  <si>
    <t>Побединское</t>
  </si>
  <si>
    <t>61644157</t>
  </si>
  <si>
    <t>234</t>
  </si>
  <si>
    <t>61644478</t>
  </si>
  <si>
    <t>235</t>
  </si>
  <si>
    <t>236</t>
  </si>
  <si>
    <t>Успенское</t>
  </si>
  <si>
    <t>61644488</t>
  </si>
  <si>
    <t>237</t>
  </si>
  <si>
    <t>Шелемишевское</t>
  </si>
  <si>
    <t>61644496</t>
  </si>
  <si>
    <t>238</t>
  </si>
  <si>
    <t xml:space="preserve">Спасский муниципальный округ</t>
  </si>
  <si>
    <t>61546000</t>
  </si>
  <si>
    <t>239</t>
  </si>
  <si>
    <t xml:space="preserve">Спасский муниципальный район</t>
  </si>
  <si>
    <t>61646000</t>
  </si>
  <si>
    <t>Выжелесское</t>
  </si>
  <si>
    <t>61646409</t>
  </si>
  <si>
    <t>240</t>
  </si>
  <si>
    <t>61646415</t>
  </si>
  <si>
    <t>241</t>
  </si>
  <si>
    <t>Заречинское</t>
  </si>
  <si>
    <t>61646434</t>
  </si>
  <si>
    <t>242</t>
  </si>
  <si>
    <t>Ижевское</t>
  </si>
  <si>
    <t>61646443</t>
  </si>
  <si>
    <t>243</t>
  </si>
  <si>
    <t>Исадское</t>
  </si>
  <si>
    <t>61646446</t>
  </si>
  <si>
    <t>244</t>
  </si>
  <si>
    <t>Кирицкое</t>
  </si>
  <si>
    <t>61646452</t>
  </si>
  <si>
    <t>245</t>
  </si>
  <si>
    <t>Киструсское</t>
  </si>
  <si>
    <t>61646488</t>
  </si>
  <si>
    <t>246</t>
  </si>
  <si>
    <t>Кутуковское</t>
  </si>
  <si>
    <t>61646455</t>
  </si>
  <si>
    <t>247</t>
  </si>
  <si>
    <t>Лакашинское</t>
  </si>
  <si>
    <t>61646458</t>
  </si>
  <si>
    <t>248</t>
  </si>
  <si>
    <t>Михальское</t>
  </si>
  <si>
    <t>61646461</t>
  </si>
  <si>
    <t>249</t>
  </si>
  <si>
    <t>Панинское</t>
  </si>
  <si>
    <t>61646473</t>
  </si>
  <si>
    <t>250</t>
  </si>
  <si>
    <t>Перкинское</t>
  </si>
  <si>
    <t>61646476</t>
  </si>
  <si>
    <t>251</t>
  </si>
  <si>
    <t>Собчаковское</t>
  </si>
  <si>
    <t>61646485</t>
  </si>
  <si>
    <t>252</t>
  </si>
  <si>
    <t>Спасск-Рязанское</t>
  </si>
  <si>
    <t>61646101</t>
  </si>
  <si>
    <t>253</t>
  </si>
  <si>
    <t>254</t>
  </si>
  <si>
    <t>Троицкое</t>
  </si>
  <si>
    <t>61646493</t>
  </si>
  <si>
    <t>255</t>
  </si>
  <si>
    <t>Федотьевское</t>
  </si>
  <si>
    <t>61646498</t>
  </si>
  <si>
    <t>256</t>
  </si>
  <si>
    <t xml:space="preserve">Старожиловский муниципальный округ</t>
  </si>
  <si>
    <t>61548000</t>
  </si>
  <si>
    <t>257</t>
  </si>
  <si>
    <t xml:space="preserve">Старожиловский муниципальный район</t>
  </si>
  <si>
    <t>61648000</t>
  </si>
  <si>
    <t>Гребневское</t>
  </si>
  <si>
    <t>61648420</t>
  </si>
  <si>
    <t>258</t>
  </si>
  <si>
    <t>Гулынское</t>
  </si>
  <si>
    <t>61648425</t>
  </si>
  <si>
    <t>259</t>
  </si>
  <si>
    <t>Истьинское</t>
  </si>
  <si>
    <t>61648435</t>
  </si>
  <si>
    <t>260</t>
  </si>
  <si>
    <t>Ленинское</t>
  </si>
  <si>
    <t>61648438</t>
  </si>
  <si>
    <t>261</t>
  </si>
  <si>
    <t>Мелекшинское</t>
  </si>
  <si>
    <t>61648440</t>
  </si>
  <si>
    <t>262</t>
  </si>
  <si>
    <t>263</t>
  </si>
  <si>
    <t>Старожиловское</t>
  </si>
  <si>
    <t>61648151</t>
  </si>
  <si>
    <t>264</t>
  </si>
  <si>
    <t>Столпянское</t>
  </si>
  <si>
    <t>61648460</t>
  </si>
  <si>
    <t>265</t>
  </si>
  <si>
    <t xml:space="preserve">Ухоловский муниципальный округ</t>
  </si>
  <si>
    <t>61550000</t>
  </si>
  <si>
    <t>266</t>
  </si>
  <si>
    <t xml:space="preserve">Ухоловский муниципальный район</t>
  </si>
  <si>
    <t>61650000</t>
  </si>
  <si>
    <t>Калининское</t>
  </si>
  <si>
    <t>61650430</t>
  </si>
  <si>
    <t>267</t>
  </si>
  <si>
    <t>Коноплинское</t>
  </si>
  <si>
    <t>61650440</t>
  </si>
  <si>
    <t>268</t>
  </si>
  <si>
    <t>Ольховское</t>
  </si>
  <si>
    <t>61650450</t>
  </si>
  <si>
    <t>269</t>
  </si>
  <si>
    <t>Смолеевское</t>
  </si>
  <si>
    <t>61650455</t>
  </si>
  <si>
    <t>270</t>
  </si>
  <si>
    <t>271</t>
  </si>
  <si>
    <t>Ухоловское</t>
  </si>
  <si>
    <t>61650151</t>
  </si>
  <si>
    <t>272</t>
  </si>
  <si>
    <t xml:space="preserve">Чучковский муниципальный округ</t>
  </si>
  <si>
    <t>61553000</t>
  </si>
  <si>
    <t>273</t>
  </si>
  <si>
    <t xml:space="preserve">Чучковский муниципальный район</t>
  </si>
  <si>
    <t>61653000</t>
  </si>
  <si>
    <t>Аладьинское</t>
  </si>
  <si>
    <t>61653405</t>
  </si>
  <si>
    <t>274</t>
  </si>
  <si>
    <t>Завидовское</t>
  </si>
  <si>
    <t>61653420</t>
  </si>
  <si>
    <t>275</t>
  </si>
  <si>
    <t>Остро-Пластиковское</t>
  </si>
  <si>
    <t>61653435</t>
  </si>
  <si>
    <t>276</t>
  </si>
  <si>
    <t>Пертовское</t>
  </si>
  <si>
    <t>61653440</t>
  </si>
  <si>
    <t>277</t>
  </si>
  <si>
    <t>Ункосовское</t>
  </si>
  <si>
    <t>61653450</t>
  </si>
  <si>
    <t>278</t>
  </si>
  <si>
    <t>279</t>
  </si>
  <si>
    <t>Чучковское</t>
  </si>
  <si>
    <t>61653151</t>
  </si>
  <si>
    <t>280</t>
  </si>
  <si>
    <t xml:space="preserve">Шацкий муниципальный округ</t>
  </si>
  <si>
    <t>61556000</t>
  </si>
  <si>
    <t>281</t>
  </si>
  <si>
    <t xml:space="preserve">Шацкий муниципальный район</t>
  </si>
  <si>
    <t>61656000</t>
  </si>
  <si>
    <t>Агишевское</t>
  </si>
  <si>
    <t>61656406</t>
  </si>
  <si>
    <t>282</t>
  </si>
  <si>
    <t>Борковское</t>
  </si>
  <si>
    <t>61656415</t>
  </si>
  <si>
    <t>283</t>
  </si>
  <si>
    <t>Желанновское</t>
  </si>
  <si>
    <t>61656418</t>
  </si>
  <si>
    <t>284</t>
  </si>
  <si>
    <t>Каверинское</t>
  </si>
  <si>
    <t>61656421</t>
  </si>
  <si>
    <t>285</t>
  </si>
  <si>
    <t>Казачинское</t>
  </si>
  <si>
    <t>61656427</t>
  </si>
  <si>
    <t>286</t>
  </si>
  <si>
    <t>Кермисинское</t>
  </si>
  <si>
    <t>61656433</t>
  </si>
  <si>
    <t>287</t>
  </si>
  <si>
    <t>Куплинское</t>
  </si>
  <si>
    <t>61656439</t>
  </si>
  <si>
    <t>288</t>
  </si>
  <si>
    <t>Кучасьевское</t>
  </si>
  <si>
    <t>61656442</t>
  </si>
  <si>
    <t>289</t>
  </si>
  <si>
    <t>Лесно-Конобеевское</t>
  </si>
  <si>
    <t>61656445</t>
  </si>
  <si>
    <t>290</t>
  </si>
  <si>
    <t>Лесно-Полянское</t>
  </si>
  <si>
    <t>61656448</t>
  </si>
  <si>
    <t>291</t>
  </si>
  <si>
    <t>Новочернеевское</t>
  </si>
  <si>
    <t>61656451</t>
  </si>
  <si>
    <t>292</t>
  </si>
  <si>
    <t>61656454</t>
  </si>
  <si>
    <t>293</t>
  </si>
  <si>
    <t>Печинское</t>
  </si>
  <si>
    <t>61656457</t>
  </si>
  <si>
    <t>294</t>
  </si>
  <si>
    <t>Польно-Ялтуновское</t>
  </si>
  <si>
    <t>61656463</t>
  </si>
  <si>
    <t>295</t>
  </si>
  <si>
    <t>Чернослободское</t>
  </si>
  <si>
    <t>61656484</t>
  </si>
  <si>
    <t>296</t>
  </si>
  <si>
    <t>297</t>
  </si>
  <si>
    <t>Шацкое</t>
  </si>
  <si>
    <t>61656101</t>
  </si>
  <si>
    <t>298</t>
  </si>
  <si>
    <t>Ямбирнское</t>
  </si>
  <si>
    <t>61656493</t>
  </si>
  <si>
    <t>299</t>
  </si>
  <si>
    <t xml:space="preserve">Шиловский муниципальный округ</t>
  </si>
  <si>
    <t>61558000</t>
  </si>
  <si>
    <t>300</t>
  </si>
  <si>
    <t xml:space="preserve">Шиловский муниципальный район</t>
  </si>
  <si>
    <t>61658000</t>
  </si>
  <si>
    <t>Аделинское</t>
  </si>
  <si>
    <t>61658403</t>
  </si>
  <si>
    <t>301</t>
  </si>
  <si>
    <t>61658475</t>
  </si>
  <si>
    <t>302</t>
  </si>
  <si>
    <t>Ерахтурское</t>
  </si>
  <si>
    <t>61658424</t>
  </si>
  <si>
    <t>303</t>
  </si>
  <si>
    <t>Желудевское</t>
  </si>
  <si>
    <t>61658427</t>
  </si>
  <si>
    <t>304</t>
  </si>
  <si>
    <t>Задубровское</t>
  </si>
  <si>
    <t>61658430</t>
  </si>
  <si>
    <t>305</t>
  </si>
  <si>
    <t>Занино-Починковское</t>
  </si>
  <si>
    <t>61658445</t>
  </si>
  <si>
    <t>306</t>
  </si>
  <si>
    <t>Ибредское</t>
  </si>
  <si>
    <t>61658473</t>
  </si>
  <si>
    <t>307</t>
  </si>
  <si>
    <t>Инякинское</t>
  </si>
  <si>
    <t>61658436</t>
  </si>
  <si>
    <t>308</t>
  </si>
  <si>
    <t>Лесновское</t>
  </si>
  <si>
    <t>61658157</t>
  </si>
  <si>
    <t>309</t>
  </si>
  <si>
    <t>Мосоловское</t>
  </si>
  <si>
    <t>61658448</t>
  </si>
  <si>
    <t>310</t>
  </si>
  <si>
    <t>Санское</t>
  </si>
  <si>
    <t>61658472</t>
  </si>
  <si>
    <t>311</t>
  </si>
  <si>
    <t>Тимошкинское</t>
  </si>
  <si>
    <t>61658481</t>
  </si>
  <si>
    <t>312</t>
  </si>
  <si>
    <t>61658484</t>
  </si>
  <si>
    <t>313</t>
  </si>
  <si>
    <t>314</t>
  </si>
  <si>
    <t>Шиловское</t>
  </si>
  <si>
    <t>61658151</t>
  </si>
  <si>
    <t>315</t>
  </si>
  <si>
    <t>NUMBER_POINT</t>
  </si>
  <si>
    <t>INVP_NAME</t>
  </si>
  <si>
    <t>INVP_ID</t>
  </si>
  <si>
    <t>L_START_DATE</t>
  </si>
  <si>
    <t>L_END_DATE</t>
  </si>
  <si>
    <t>L_DECISION_NAME</t>
  </si>
  <si>
    <t>L_DECISION_TYPE</t>
  </si>
  <si>
    <t>L_DECISION_NMBR</t>
  </si>
  <si>
    <t>L_DECISION_DATE</t>
  </si>
  <si>
    <t xml:space="preserve">Инвестиционная программа № 15-ип от 15.10.2025 МКП "ВОДОСТОК" в сфере водоотведения по модернизации объектов, на территории муниципального округа Спасский на 2026-2028 годы</t>
  </si>
  <si>
    <t>01.01.2026</t>
  </si>
  <si>
    <t>31.12.2028</t>
  </si>
  <si>
    <t xml:space="preserve">Инвестиционная программа № 17-ип от 15.10.2025 МКП "ИЖЕВСКОЕ КОММУНАЛЬНОЕ ХОЗЯЙСТВО" в сфере водоотведения по модернизации объектов, на территории муниципального округа Спасский на 2026-2028 годы</t>
  </si>
  <si>
    <t xml:space="preserve">Инвестиционная программа № 22-ип от 29.10.2025 МКП "КАСИМОВСКОЕ ЖКХ" в сфере водоотведения по модернизации объектов, на территории муниципального округа Касимовский на 2026-2028 годы</t>
  </si>
  <si>
    <t xml:space="preserve">Инвестиционная программа № 24-ип от 29.10.2025 МКП "КАСИМОВСЕРВИС" в сфере водоотведения по модернизации объектов, на территории муниципального округа Касимовский на 2026-2028 годы</t>
  </si>
  <si>
    <t xml:space="preserve">Инвестиционная программа № 40-ип от 29.10.2025 МКП "САПОЖКОВСКОЕ ЖКХ" в сфере водоотведения по модернизации объектов, на территории муниципального округа Сапожковский на 2026-2028 годы</t>
  </si>
  <si>
    <t xml:space="preserve">Инвестиционная программа № 6-ип от 29.10.2024 ООО "Водосток" в сфере водоотведения по строительству, реконструкции и модернизации систем водоотведения, на территории муниципального округа Сасовский на 2025-2027 годы</t>
  </si>
  <si>
    <t>01.01.2025</t>
  </si>
  <si>
    <t>31.12.2027</t>
  </si>
  <si>
    <t xml:space="preserve">Инвестиционная программа от 29.10.2020 МП "Водоканал города Рязани" в сфере водоснабжения и водоотведения по строительству, реконструкции и модернизации систем водоснабжения и водоотведения, на территории городского округа Рязань на 2021-2023 годы</t>
  </si>
  <si>
    <t>01.01.2021</t>
  </si>
  <si>
    <t>31.12.2023</t>
  </si>
  <si>
    <t xml:space="preserve">Инвестиционная программа от 29.10.2025 МКП "КОРАБЛИНОСЕРВИС" в сфере водоотведения по модернизации объектов, на территории муниципального округа Кораблинский на 2026-2028 годы</t>
  </si>
  <si>
    <t xml:space="preserve">Инвестиционная программа от 29.10.2025 МКП "ЦЕНТР УСЛУГ" в сфере водоотведения по модернизации объектов, на территории муниципального округа Александро-Невский на 2026-2028 годы</t>
  </si>
  <si>
    <t>TER_NAME</t>
  </si>
  <si>
    <t xml:space="preserve">Территория 1</t>
  </si>
  <si>
    <t>ID_TARIFF_NAME</t>
  </si>
  <si>
    <t>TARIFF_NAME</t>
  </si>
  <si>
    <t>VED_NAME</t>
  </si>
  <si>
    <t>4189712</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</si>
  <si>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</si>
  <si>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</si>
  <si>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</si>
  <si>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</si>
  <si>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</si>
  <si>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</si>
  <si>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</si>
  <si>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</si>
  <si>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</si>
  <si>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</si>
  <si>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</si>
  <si>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</si>
  <si>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</si>
  <si>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</si>
  <si>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</si>
  <si>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</si>
  <si>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</si>
  <si>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</si>
  <si>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</si>
  <si>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</si>
  <si>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</si>
  <si>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</si>
  <si>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 xml:space="preserve">Расчетные листы</t>
  </si>
  <si>
    <t xml:space="preserve">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</si>
  <si>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</si>
  <si>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</si>
  <si>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</si>
  <si>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</si>
  <si>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</si>
  <si>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</si>
  <si>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</si>
  <si>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</si>
  <si>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</si>
  <si>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</si>
  <si>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</si>
  <si>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</si>
  <si>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</si>
  <si>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</si>
  <si>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</si>
  <si>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</si>
  <si>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</si>
  <si>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</si>
  <si>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</si>
  <si>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</si>
  <si>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</si>
  <si>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</si>
  <si>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</si>
  <si>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</si>
  <si>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</si>
  <si>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</si>
  <si>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</si>
  <si>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</si>
  <si>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</si>
  <si>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</si>
  <si>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</si>
  <si>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</si>
  <si>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</si>
  <si>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</si>
  <si>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</si>
  <si>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</si>
  <si>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</si>
  <si>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</si>
  <si>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</si>
  <si>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</si>
  <si>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</si>
  <si>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</si>
  <si>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</si>
  <si>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</si>
  <si>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</si>
  <si>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</si>
  <si>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</si>
  <si>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</si>
  <si>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</si>
  <si>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</si>
  <si>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</si>
  <si>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</si>
  <si>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</si>
  <si>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</si>
  <si>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</si>
  <si>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</si>
  <si>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</si>
  <si>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</si>
  <si>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</si>
  <si>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</si>
  <si>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</si>
  <si>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</si>
  <si>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</si>
  <si>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</si>
  <si>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</si>
  <si>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</si>
  <si>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</si>
  <si>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</si>
  <si>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</si>
  <si>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</si>
  <si>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</si>
  <si>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</si>
  <si>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</si>
  <si>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</si>
  <si>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</si>
  <si>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</si>
  <si>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</si>
  <si>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</si>
  <si>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</si>
  <si>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</si>
  <si>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</si>
  <si>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</si>
  <si>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</si>
  <si>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</si>
  <si>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</si>
  <si>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</si>
  <si>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</si>
  <si>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</si>
  <si>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</si>
  <si>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</si>
  <si>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</si>
  <si>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</si>
  <si>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</si>
  <si>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</si>
  <si>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</si>
  <si>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</si>
  <si>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</si>
  <si>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</si>
  <si>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</si>
  <si>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</si>
  <si>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</si>
  <si>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</si>
  <si>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</si>
  <si>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</si>
  <si>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</si>
  <si>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</si>
  <si>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</si>
  <si>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</si>
  <si>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</si>
  <si>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</si>
  <si>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</si>
  <si>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</si>
  <si>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</si>
  <si>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</si>
  <si>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</si>
  <si>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</si>
  <si>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</si>
  <si>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</si>
  <si>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</si>
  <si>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</si>
  <si>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</si>
  <si>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</si>
  <si>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</si>
  <si>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</si>
  <si>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</si>
  <si>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</si>
  <si>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</si>
  <si>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</si>
  <si>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</si>
  <si>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 xml:space="preserve">Для выбора того или иного источника публикации выполните двойной щелчок по синей ячейке напротив соответствующего источника.
ВНИМАНИЕ! Если Вы снимаете галочку с пункта, то будут скрыты и очищены соответствующие строки на листе "Форма 1.0.2"!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</si>
  <si>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 xml:space="preserve">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</si>
  <si>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 xml:space="preserve">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</si>
  <si>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 xml:space="preserve">Шаблон заполняется раздельно по каждому виду тарифа</t>
  </si>
  <si>
    <t xml:space="preserve">В зависимости от указанного вида деятельности будут доступны для заполнения поля 'Производство', 'Передача' и 'Сбыт'</t>
  </si>
  <si>
    <t xml:space="preserve">Если выбрано 'да', на листах с разбивкой по потребителям доступны для заполнения графы для двухставочного ставочного тарифа по группам потребителей</t>
  </si>
  <si>
    <t xml:space="preserve">Если выбрано 'да', значения тарифов для групп потребителей на листах с разбивкой по потребителям заполнятся автоматически значениями первой группы</t>
  </si>
  <si>
    <t xml:space="preserve">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</si>
  <si>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</si>
  <si>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 xml:space="preserve">Укажите является ли данное юридическое лицо подразделением(филиалом) другой организации</t>
  </si>
  <si>
    <t xml:space="preserve">Ссылки на публикации</t>
  </si>
  <si>
    <t xml:space="preserve">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</si>
  <si>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 xml:space="preserve">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</si>
  <si>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 xml:space="preserve">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</si>
  <si>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 xml:space="preserve">Список МО</t>
  </si>
  <si>
    <t xml:space="preserve">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</si>
  <si>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 xml:space="preserve">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</si>
  <si>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 xml:space="preserve">Признак дифференциации тарифа</t>
  </si>
  <si>
    <t xml:space="preserve">В случае, если тариф не дифференцируется по системам теплоснабжения, укажите "1".
Введите значение от 1 до 100, чтобы указать очередной условный порядковый номер системы теплоснабжения</t>
  </si>
  <si>
    <t>Стандарты</t>
  </si>
  <si>
    <t xml:space="preserve">В качестве примечания Вы можете указать единицу измерения</t>
  </si>
  <si>
    <t xml:space="preserve">Для корректного формирования Таблицы 25 Формы 1.10 необходимо задать разбивку по диаметрам и способу прокладки тепловых сетей</t>
  </si>
  <si>
    <t xml:space="preserve">Перечень тарифов</t>
  </si>
  <si>
    <t xml:space="preserve">Укажите «Да» в поле «Да/Нет», если дифференциация используется.
В поле «Описание» указывается наименование территории действия тарифа при наличии дифференциации тарифа по территориальному признаку.
В случае дифференциации тарифов по территориальному признаку информация по ним указывается в отдельных строках.</t>
  </si>
  <si>
    <t xml:space="preserve">Признаки дифференциации указываются в соответствии с п.6 ст.32 ФЗ РФ от 07.12.2011 №416-ФЗ</t>
  </si>
  <si>
    <t xml:space="preserve">Укажите «Да» в поле «Да/Нет», если дифференциация используется. В поле «Описание» укажите название ЦС ГВС или любое другое описание</t>
  </si>
  <si>
    <t>Территории</t>
  </si>
  <si>
    <t xml:space="preserve">Наименование территории действия тарифа для целей идентификации</t>
  </si>
  <si>
    <t xml:space="preserve">Муниципальные районы и муниципальные образования, на территории которых действует тариф</t>
  </si>
  <si>
    <t>Инструкция</t>
  </si>
  <si>
    <t xml:space="preserve">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</si>
</sst>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000000"/>
      <color indexed="64"/>
      <name val="Tahoma"/>
    </font>
    <font>
      <sz val="11.000000"/>
      <color theme="1"/>
      <name val="Calibri"/>
      <scheme val="minor"/>
    </font>
    <font>
      <sz val="11.000000"/>
      <color theme="0"/>
      <name val="Calibri"/>
      <scheme val="minor"/>
    </font>
    <font>
      <sz val="11.000000"/>
      <color rgb="FF9C0006"/>
      <name val="Calibri"/>
      <scheme val="minor"/>
    </font>
    <font>
      <b/>
      <sz val="11.000000"/>
      <color rgb="FFFA7D00"/>
      <name val="Calibri"/>
      <scheme val="minor"/>
    </font>
    <font>
      <b/>
      <sz val="11.000000"/>
      <color theme="0"/>
      <name val="Calibri"/>
      <scheme val="minor"/>
    </font>
    <font>
      <sz val="11.000000"/>
      <color indexed="64"/>
      <name val="Calibri"/>
    </font>
    <font>
      <i/>
      <sz val="11.000000"/>
      <color rgb="FF7F7F7F"/>
      <name val="Calibri"/>
      <scheme val="minor"/>
    </font>
    <font>
      <sz val="11.000000"/>
      <color rgb="FF006100"/>
      <name val="Calibri"/>
      <scheme val="minor"/>
    </font>
    <font>
      <b/>
      <sz val="15.000000"/>
      <color theme="3"/>
      <name val="Calibri"/>
      <scheme val="minor"/>
    </font>
    <font>
      <b/>
      <sz val="13.000000"/>
      <color theme="3"/>
      <name val="Calibri"/>
      <scheme val="minor"/>
    </font>
    <font>
      <b/>
      <sz val="11.000000"/>
      <color theme="3"/>
      <name val="Calibri"/>
      <scheme val="minor"/>
    </font>
    <font>
      <sz val="11.000000"/>
      <color rgb="FF3F3F76"/>
      <name val="Calibri"/>
      <scheme val="minor"/>
    </font>
    <font>
      <sz val="11.000000"/>
      <color rgb="FFFA7D00"/>
      <name val="Calibri"/>
      <scheme val="minor"/>
    </font>
    <font>
      <sz val="11.000000"/>
      <color rgb="FF9C5700"/>
      <name val="Calibri"/>
      <scheme val="minor"/>
    </font>
    <font>
      <sz val="12.000000"/>
      <color auto="1"/>
      <name val="Arial"/>
    </font>
    <font>
      <b/>
      <sz val="11.000000"/>
      <color rgb="FF3F3F3F"/>
      <name val="Calibri"/>
      <scheme val="minor"/>
    </font>
    <font>
      <sz val="18.000000"/>
      <color theme="3"/>
      <name val="Cambria"/>
      <scheme val="major"/>
    </font>
    <font>
      <b/>
      <sz val="11.000000"/>
      <color theme="1"/>
      <name val="Calibri"/>
      <scheme val="minor"/>
    </font>
    <font>
      <sz val="11.000000"/>
      <color indexed="2"/>
      <name val="Calibri"/>
      <scheme val="minor"/>
    </font>
    <font>
      <sz val="10.000000"/>
      <color auto="1"/>
      <name val="Helv"/>
    </font>
    <font>
      <sz val="8.000000"/>
      <color auto="1"/>
      <name val="Arial"/>
    </font>
    <font>
      <sz val="9.000000"/>
      <color auto="1"/>
      <name val="Tahoma"/>
    </font>
    <font>
      <sz val="8.000000"/>
      <color auto="1"/>
      <name val="Palatino"/>
    </font>
    <font>
      <u/>
      <sz val="10.000000"/>
      <color indexed="20"/>
      <name val="Arial Cyr"/>
    </font>
    <font>
      <u/>
      <sz val="10.000000"/>
      <color indexed="4"/>
      <name val="Arial Cyr"/>
    </font>
    <font>
      <sz val="8.000000"/>
      <color auto="1"/>
      <name val="Helv"/>
    </font>
    <font>
      <u/>
      <sz val="9.000000"/>
      <color theme="10"/>
      <name val="Tahoma"/>
    </font>
    <font>
      <sz val="10.000000"/>
      <color auto="1"/>
      <name val="Arial"/>
    </font>
    <font>
      <sz val="10.000000"/>
      <color auto="1"/>
      <name val="Arial Cyr"/>
    </font>
    <font>
      <u/>
      <sz val="9.000000"/>
      <color theme="11"/>
      <name val="Tahoma"/>
    </font>
    <font>
      <sz val="9.000000"/>
      <color indexed="65"/>
      <name val="Tahoma"/>
    </font>
    <font>
      <sz val="9.000000"/>
      <color rgb="FFCC0000"/>
      <name val="Tahoma"/>
    </font>
    <font>
      <sz val="16.000000"/>
      <color auto="1"/>
      <name val="Tahoma"/>
    </font>
    <font>
      <sz val="16.000000"/>
      <color indexed="65"/>
      <name val="Tahoma"/>
    </font>
    <font>
      <sz val="9.000000"/>
      <color rgb="FFBCBCBC"/>
      <name val="Tahoma"/>
    </font>
    <font>
      <sz val="11.000000"/>
      <color rgb="FFBCBCBC"/>
      <name val="Wingdings 2"/>
    </font>
    <font>
      <b/>
      <u/>
      <sz val="9.000000"/>
      <color auto="1"/>
      <name val="Tahoma"/>
    </font>
    <font>
      <sz val="11.000000"/>
      <color auto="1"/>
      <name val="Webdings2"/>
    </font>
    <font>
      <sz val="9.000000"/>
      <color indexed="18"/>
      <name val="Tahoma"/>
    </font>
    <font>
      <b/>
      <sz val="11.000000"/>
      <color indexed="64"/>
      <name val="Calibri"/>
    </font>
    <font>
      <sz val="11.000000"/>
      <color auto="1"/>
      <name val="Wingdings 2"/>
    </font>
    <font>
      <b/>
      <sz val="9.000000"/>
      <color indexed="65"/>
      <name val="Tahoma"/>
    </font>
    <font>
      <b/>
      <u/>
      <sz val="9.000000"/>
      <color indexed="18"/>
      <name val="Tahoma"/>
    </font>
    <font>
      <sz val="8.000000"/>
      <color auto="1"/>
      <name val="Tahoma"/>
    </font>
    <font>
      <sz val="10.000000"/>
      <color auto="1"/>
      <name val="Tahoma"/>
    </font>
    <font>
      <sz val="9.000000"/>
      <color theme="0"/>
      <name val="Tahoma"/>
    </font>
    <font>
      <sz val="1.000000"/>
      <color theme="0"/>
      <name val="Tahoma"/>
    </font>
    <font>
      <b/>
      <sz val="1.000000"/>
      <color theme="0"/>
      <name val="Calibri"/>
    </font>
    <font>
      <b/>
      <sz val="9.000000"/>
      <color auto="1"/>
      <name val="Tahoma"/>
    </font>
    <font>
      <sz val="8.000000"/>
      <color rgb="FFBCBCBC"/>
      <name val="Tahoma"/>
    </font>
    <font>
      <sz val="12.000000"/>
      <color indexed="64"/>
      <name val="Tahoma"/>
    </font>
    <font>
      <sz val="11.000000"/>
      <color indexed="64"/>
      <name val="Calibri"/>
    </font>
    <font>
      <u/>
      <sz val="9.000000"/>
      <color indexed="62"/>
      <name val="Tahoma"/>
    </font>
    <font>
      <sz val="9.000000"/>
      <color indexed="2"/>
      <name val="Tahoma"/>
    </font>
    <font>
      <sz val="5.000000"/>
      <color indexed="2"/>
      <name val="Tahoma"/>
    </font>
    <font>
      <sz val="11.000000"/>
      <color theme="0"/>
      <name val="Wingdings 2"/>
    </font>
    <font>
      <sz val="5.000000"/>
      <color theme="0"/>
      <name val="Tahoma"/>
    </font>
    <font>
      <sz val="3.000000"/>
      <color indexed="65"/>
      <name val="Tahoma"/>
    </font>
    <font>
      <sz val="3.000000"/>
      <color rgb="FFCC0000"/>
      <name val="Tahoma"/>
    </font>
    <font>
      <sz val="3.000000"/>
      <color auto="1"/>
      <name val="Tahoma"/>
    </font>
    <font>
      <sz val="3.000000"/>
      <color indexed="64"/>
      <name val="Tahoma"/>
    </font>
    <font>
      <sz val="3.000000"/>
      <color indexed="60"/>
      <name val="Tahoma"/>
    </font>
    <font>
      <sz val="1.000000"/>
      <color indexed="65"/>
      <name val="Tahoma"/>
    </font>
    <font>
      <sz val="18.000000"/>
      <color auto="1"/>
      <name val="Tahoma"/>
    </font>
    <font>
      <sz val="18.000000"/>
      <color indexed="64"/>
      <name val="Tahoma"/>
    </font>
    <font>
      <sz val="11.000000"/>
      <color indexed="64"/>
      <name val="Tahoma"/>
    </font>
    <font>
      <sz val="1.000000"/>
      <color indexed="64"/>
      <name val="Tahoma"/>
    </font>
    <font>
      <sz val="15.000000"/>
      <color indexed="64"/>
      <name val="Tahoma"/>
    </font>
    <font>
      <sz val="11.000000"/>
      <color theme="0"/>
      <name val="Webdings2"/>
    </font>
    <font>
      <u/>
      <sz val="1.000000"/>
      <color indexed="62"/>
      <name val="Tahoma"/>
    </font>
    <font>
      <sz val="15.000000"/>
      <color auto="1"/>
      <name val="Tahoma"/>
    </font>
    <font>
      <sz val="1.000000"/>
      <color auto="1"/>
      <name val="Tahoma"/>
    </font>
    <font>
      <b/>
      <sz val="9.000000"/>
      <color indexed="18"/>
      <name val="Tahoma"/>
    </font>
    <font>
      <sz val="12.000000"/>
      <color theme="0"/>
      <name val="Tahoma"/>
    </font>
    <font>
      <sz val="9.000000"/>
      <color theme="1"/>
      <name val="Tahoma"/>
    </font>
    <font>
      <sz val="9.000000"/>
      <color indexed="30"/>
      <name val="Tahoma"/>
    </font>
    <font>
      <b/>
      <sz val="10.000000"/>
      <color theme="1"/>
      <name val="Tahoma"/>
    </font>
    <font>
      <sz val="10.000000"/>
      <color theme="1"/>
      <name val="Tahoma"/>
    </font>
    <font>
      <sz val="3.000000"/>
      <color rgb="FFBCBCBC"/>
      <name val="Tahoma"/>
    </font>
    <font>
      <sz val="1.000000"/>
      <color rgb="FFBCBCBC"/>
      <name val="Tahoma"/>
    </font>
    <font>
      <sz val="12.000000"/>
      <color auto="1"/>
      <name val="Marlett"/>
    </font>
    <font>
      <sz val="9.000000"/>
      <color rgb="FFBCBCBC"/>
      <name val="Wingdings 2"/>
    </font>
    <font>
      <sz val="12.000000"/>
      <color auto="1"/>
      <name val="Tahoma"/>
    </font>
    <font>
      <sz val="15.000000"/>
      <color theme="0"/>
      <name val="Tahoma"/>
    </font>
    <font>
      <sz val="1.000000"/>
      <color indexed="2"/>
      <name val="Tahoma"/>
    </font>
    <font>
      <b/>
      <sz val="11.000000"/>
      <color theme="0"/>
      <name val="Calibri"/>
    </font>
    <font>
      <sz val="11.000000"/>
      <color theme="0"/>
      <name val="Tahoma"/>
    </font>
    <font>
      <sz val="3.000000"/>
      <color theme="0"/>
      <name val="Tahoma"/>
    </font>
    <font>
      <b/>
      <sz val="3.000000"/>
      <color auto="1"/>
      <name val="Tahoma"/>
    </font>
    <font>
      <b/>
      <sz val="9.000000"/>
      <color rgb="FF0070C0"/>
      <name val="Tahoma"/>
    </font>
    <font>
      <sz val="7.000000"/>
      <color auto="1"/>
      <name val="Tahoma"/>
    </font>
    <font>
      <sz val="7.000000"/>
      <color indexed="65"/>
      <name val="Tahoma"/>
    </font>
    <font>
      <sz val="7.000000"/>
      <color theme="0" tint="-0.5"/>
      <name val="Tahoma"/>
    </font>
    <font>
      <sz val="8.000000"/>
      <color theme="0"/>
      <name val="Tahoma"/>
    </font>
    <font>
      <sz val="7.000000"/>
      <color indexed="64"/>
      <name val="Tahoma"/>
    </font>
    <font>
      <b/>
      <sz val="9.000000"/>
      <color theme="0"/>
      <name val="Tahoma"/>
    </font>
    <font>
      <b/>
      <sz val="1.000000"/>
      <color theme="0"/>
      <name val="Tahoma"/>
    </font>
    <font>
      <sz val="19.000000"/>
      <color theme="0"/>
      <name val="Tahoma"/>
    </font>
    <font>
      <sz val="8.000000"/>
      <color indexed="65"/>
      <name val="Tahoma"/>
    </font>
    <font>
      <b/>
      <sz val="1.000000"/>
      <color auto="1"/>
      <name val="Tahoma"/>
    </font>
    <font>
      <b/>
      <sz val="1.000000"/>
      <color indexed="18"/>
      <name val="Tahoma"/>
    </font>
    <font>
      <b/>
      <sz val="10.000000"/>
      <color auto="1"/>
      <name val="Tahoma"/>
    </font>
    <font>
      <b/>
      <sz val="9.000000"/>
      <color indexed="64"/>
      <name val="Tahoma"/>
    </font>
    <font>
      <sz val="10.000000"/>
      <color indexed="64"/>
      <name val="Arial"/>
    </font>
    <font>
      <sz val="8.000000"/>
      <color indexed="18"/>
      <name val="Tahoma"/>
    </font>
    <font>
      <sz val="1.000000"/>
      <color auto="1"/>
      <name val="Webdings2"/>
    </font>
    <font>
      <sz val="1.000000"/>
      <color theme="0"/>
      <name val="Webdings2"/>
    </font>
    <font>
      <b/>
      <sz val="9.000000"/>
      <color auto="1"/>
      <name val="Calibri"/>
    </font>
    <font>
      <sz val="1.000000"/>
      <color indexed="18"/>
      <name val="Tahoma"/>
    </font>
    <font>
      <sz val="9.000000"/>
      <color theme="0"/>
      <name val="Webdings2"/>
    </font>
    <font>
      <sz val="1.000000"/>
      <color theme="0"/>
      <name val="Wingdings 2"/>
    </font>
    <font>
      <sz val="18.000000"/>
      <color theme="0"/>
      <name val="Tahoma"/>
    </font>
    <font>
      <sz val="9.000000"/>
      <color auto="1"/>
      <name val="Wingdings 2"/>
    </font>
    <font>
      <sz val="9.000000"/>
      <color indexed="65"/>
      <name val="Wingdings 2"/>
    </font>
    <font>
      <b/>
      <u/>
      <sz val="11.000000"/>
      <color indexed="4"/>
      <name val="Tahoma"/>
    </font>
    <font>
      <sz val="11.000000"/>
      <color indexed="65"/>
      <name val="Tahoma"/>
    </font>
    <font>
      <u/>
      <sz val="20.000000"/>
      <color indexed="56"/>
      <name val="Tahoma"/>
    </font>
    <font>
      <b/>
      <sz val="10.000000"/>
      <color indexed="64"/>
      <name val="Tahoma"/>
    </font>
    <font>
      <sz val="11.000000"/>
      <color indexed="64"/>
      <name val="Marlett"/>
    </font>
    <font>
      <sz val="10.000000"/>
      <color indexed="64"/>
      <name val="Tahoma"/>
    </font>
    <font>
      <sz val="14.000000"/>
      <color rgb="FFBCBCBC"/>
      <name val="Calibri"/>
    </font>
    <font>
      <sz val="9.000000"/>
      <color indexed="62"/>
      <name val="Tahoma"/>
    </font>
    <font>
      <b/>
      <sz val="8.000000"/>
      <color indexed="22"/>
      <name val="Wingdings 2"/>
    </font>
    <font>
      <u/>
      <sz val="9.000000"/>
      <color indexed="18"/>
      <name val="Tahoma"/>
    </font>
    <font>
      <b/>
      <sz val="8.000000"/>
      <color theme="0"/>
      <name val="Wingdings 2"/>
    </font>
    <font>
      <b/>
      <sz val="9.000000"/>
      <color rgb="FFCC0000"/>
      <name val="Tahoma"/>
    </font>
    <font>
      <u/>
      <sz val="9.000000"/>
      <color auto="1"/>
      <name val="Tahoma"/>
    </font>
  </fonts>
  <fills count="58">
    <fill>
      <patternFill patternType="none"/>
    </fill>
    <fill>
      <patternFill patternType="gray125"/>
    </fill>
    <fill>
      <patternFill patternType="solid">
        <fgColor theme="4" tint="0.80000000000000004"/>
        <bgColor theme="4" tint="0.80000000000000004"/>
      </patternFill>
    </fill>
    <fill>
      <patternFill patternType="solid">
        <fgColor theme="5" tint="0.80000000000000004"/>
        <bgColor theme="5" tint="0.80000000000000004"/>
      </patternFill>
    </fill>
    <fill>
      <patternFill patternType="solid">
        <fgColor theme="6" tint="0.80000000000000004"/>
        <bgColor theme="6" tint="0.80000000000000004"/>
      </patternFill>
    </fill>
    <fill>
      <patternFill patternType="solid">
        <fgColor theme="7" tint="0.80000000000000004"/>
        <bgColor theme="7" tint="0.80000000000000004"/>
      </patternFill>
    </fill>
    <fill>
      <patternFill patternType="solid">
        <fgColor theme="8" tint="0.80000000000000004"/>
        <bgColor theme="8" tint="0.80000000000000004"/>
      </patternFill>
    </fill>
    <fill>
      <patternFill patternType="solid">
        <fgColor theme="9" tint="0.80000000000000004"/>
        <bgColor theme="9" tint="0.80000000000000004"/>
      </patternFill>
    </fill>
    <fill>
      <patternFill patternType="solid">
        <fgColor theme="4" tint="0.59999999999999998"/>
        <bgColor theme="4" tint="0.59999999999999998"/>
      </patternFill>
    </fill>
    <fill>
      <patternFill patternType="solid">
        <fgColor theme="5" tint="0.59999999999999998"/>
        <bgColor theme="5" tint="0.59999999999999998"/>
      </patternFill>
    </fill>
    <fill>
      <patternFill patternType="solid">
        <fgColor theme="6" tint="0.59999999999999998"/>
        <bgColor theme="6" tint="0.59999999999999998"/>
      </patternFill>
    </fill>
    <fill>
      <patternFill patternType="solid">
        <fgColor theme="7" tint="0.59999999999999998"/>
        <bgColor theme="7" tint="0.59999999999999998"/>
      </patternFill>
    </fill>
    <fill>
      <patternFill patternType="solid">
        <fgColor theme="8" tint="0.59999999999999998"/>
        <bgColor theme="8" tint="0.59999999999999998"/>
      </patternFill>
    </fill>
    <fill>
      <patternFill patternType="solid">
        <fgColor theme="9" tint="0.59999999999999998"/>
        <bgColor theme="9" tint="0.59999999999999998"/>
      </patternFill>
    </fill>
    <fill>
      <patternFill patternType="solid">
        <fgColor theme="4" tint="0.40000000000000002"/>
        <bgColor theme="4" tint="0.40000000000000002"/>
      </patternFill>
    </fill>
    <fill>
      <patternFill patternType="solid">
        <fgColor theme="5" tint="0.40000000000000002"/>
        <bgColor theme="5" tint="0.40000000000000002"/>
      </patternFill>
    </fill>
    <fill>
      <patternFill patternType="solid">
        <fgColor theme="6" tint="0.40000000000000002"/>
        <bgColor theme="6" tint="0.40000000000000002"/>
      </patternFill>
    </fill>
    <fill>
      <patternFill patternType="solid">
        <fgColor theme="7" tint="0.40000000000000002"/>
        <bgColor theme="7" tint="0.40000000000000002"/>
      </patternFill>
    </fill>
    <fill>
      <patternFill patternType="solid">
        <fgColor theme="8" tint="0.40000000000000002"/>
        <bgColor theme="8" tint="0.40000000000000002"/>
      </patternFill>
    </fill>
    <fill>
      <patternFill patternType="solid">
        <fgColor theme="9" tint="0.40000000000000002"/>
        <bgColor theme="9" tint="0.40000000000000002"/>
      </patternFill>
    </fill>
    <fill>
      <patternFill patternType="solid">
        <fgColor theme="4"/>
        <bgColor theme="4"/>
      </patternFill>
    </fill>
    <fill>
      <patternFill patternType="solid">
        <fgColor theme="5"/>
        <bgColor theme="5"/>
      </patternFill>
    </fill>
    <fill>
      <patternFill patternType="solid">
        <fgColor theme="6"/>
        <bgColor theme="6"/>
      </patternFill>
    </fill>
    <fill>
      <patternFill patternType="solid">
        <fgColor theme="7"/>
        <bgColor theme="7"/>
      </patternFill>
    </fill>
    <fill>
      <patternFill patternType="solid">
        <fgColor theme="8"/>
        <bgColor theme="8"/>
      </patternFill>
    </fill>
    <fill>
      <patternFill patternType="solid">
        <fgColor theme="9"/>
        <bgColor theme="9"/>
      </patternFill>
    </fill>
    <fill>
      <patternFill patternType="solid">
        <fgColor rgb="FFFFC7CE"/>
        <bgColor rgb="FFFFC7CE"/>
      </patternFill>
    </fill>
    <fill>
      <patternFill patternType="solid">
        <fgColor rgb="FFF2F2F2"/>
        <bgColor rgb="FFF2F2F2"/>
      </patternFill>
    </fill>
    <fill>
      <patternFill patternType="solid">
        <fgColor rgb="FFA5A5A5"/>
        <bgColor rgb="FFA5A5A5"/>
      </patternFill>
    </fill>
    <fill>
      <patternFill patternType="solid">
        <fgColor rgb="FFC6EFCE"/>
        <bgColor rgb="FFC6EFCE"/>
      </patternFill>
    </fill>
    <fill>
      <patternFill patternType="solid">
        <fgColor indexed="47"/>
        <bgColor indexed="47"/>
      </patternFill>
    </fill>
    <fill>
      <patternFill patternType="solid">
        <fgColor rgb="FFFFEB9C"/>
        <bgColor rgb="FFFFEB9C"/>
      </patternFill>
    </fill>
    <fill>
      <patternFill patternType="solid">
        <fgColor indexed="26"/>
        <bgColor indexed="26"/>
      </patternFill>
    </fill>
    <fill>
      <patternFill patternType="solid">
        <fgColor indexed="43"/>
        <bgColor indexed="43"/>
      </patternFill>
    </fill>
    <fill>
      <patternFill patternType="solid">
        <fgColor rgb="FFD7EAD3"/>
        <bgColor rgb="FFD7EAD3"/>
      </patternFill>
    </fill>
    <fill>
      <patternFill patternType="solid">
        <fgColor indexed="65"/>
        <bgColor indexed="65"/>
      </patternFill>
    </fill>
    <fill>
      <patternFill patternType="solid">
        <fgColor rgb="FFFFFFC0"/>
        <bgColor rgb="FFFFFFC0"/>
      </patternFill>
    </fill>
    <fill>
      <patternFill patternType="lightDown">
        <fgColor indexed="22"/>
        <bgColor indexed="22"/>
      </patternFill>
    </fill>
    <fill>
      <patternFill patternType="solid">
        <fgColor rgb="FFFFB7B7"/>
        <bgColor rgb="FFFFB7B7"/>
      </patternFill>
    </fill>
    <fill>
      <patternFill patternType="solid">
        <fgColor rgb="FFE3FAFD"/>
        <bgColor rgb="FFE3FAFD"/>
      </patternFill>
    </fill>
    <fill>
      <patternFill patternType="solid">
        <fgColor rgb="FFB7E4FF"/>
        <bgColor rgb="FFB7E4FF"/>
      </patternFill>
    </fill>
    <fill>
      <patternFill patternType="solid">
        <fgColor indexed="22"/>
        <bgColor indexed="22"/>
      </patternFill>
    </fill>
    <fill>
      <patternFill patternType="solid">
        <fgColor theme="0"/>
        <bgColor theme="0"/>
      </patternFill>
    </fill>
    <fill>
      <patternFill patternType="solid">
        <fgColor rgb="FF8DB4E2"/>
        <bgColor rgb="FF8DB4E2"/>
      </patternFill>
    </fill>
    <fill>
      <patternFill patternType="solid">
        <fgColor theme="2" tint="-0.10000000000000001"/>
        <bgColor theme="2" tint="-0.10000000000000001"/>
      </patternFill>
    </fill>
    <fill>
      <patternFill patternType="solid">
        <fgColor theme="9" tint="-0.25"/>
        <bgColor theme="9" tint="-0.25"/>
      </patternFill>
    </fill>
    <fill>
      <patternFill patternType="solid">
        <fgColor theme="0" tint="-0.14999999999999999"/>
        <bgColor theme="0" tint="-0.14999999999999999"/>
      </patternFill>
    </fill>
    <fill>
      <patternFill patternType="solid">
        <fgColor indexed="30"/>
        <bgColor indexed="30"/>
      </patternFill>
    </fill>
    <fill>
      <patternFill patternType="solid">
        <fgColor indexed="5"/>
        <bgColor indexed="5"/>
      </patternFill>
    </fill>
    <fill>
      <patternFill patternType="solid">
        <fgColor indexed="52"/>
        <bgColor indexed="52"/>
      </patternFill>
    </fill>
    <fill>
      <patternFill patternType="solid">
        <fgColor indexed="19"/>
        <bgColor indexed="19"/>
      </patternFill>
    </fill>
    <fill>
      <patternFill patternType="solid">
        <fgColor indexed="46"/>
        <bgColor indexed="46"/>
      </patternFill>
    </fill>
    <fill>
      <patternFill patternType="lightDown">
        <fgColor rgb="FFB7E4FF"/>
        <bgColor indexed="65"/>
      </patternFill>
    </fill>
    <fill>
      <patternFill patternType="solid">
        <fgColor rgb="FFD3DBDB"/>
        <bgColor rgb="FFD3DBDB"/>
      </patternFill>
    </fill>
    <fill>
      <patternFill patternType="solid">
        <fgColor indexed="31"/>
        <bgColor indexed="31"/>
      </patternFill>
    </fill>
    <fill>
      <patternFill patternType="solid">
        <fgColor indexed="40"/>
        <bgColor indexed="40"/>
      </patternFill>
    </fill>
    <fill>
      <patternFill patternType="solid">
        <fgColor rgb="FFBCBCBC"/>
        <bgColor rgb="FFBCBCBC"/>
      </patternFill>
    </fill>
    <fill>
      <patternFill patternType="solid">
        <fgColor rgb="FFEAEBEE"/>
        <bgColor rgb="FFEAEBEE"/>
      </patternFill>
    </fill>
  </fills>
  <borders count="75">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5"/>
      </bottom>
      <diagonal/>
    </border>
    <border>
      <left/>
      <right/>
      <top/>
      <bottom style="medium">
        <color theme="4" tint="0.4000000000000000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rgb="FFBCBCBC"/>
      </left>
      <right style="thin">
        <color rgb="FFBCBCBC"/>
      </right>
      <top style="thin">
        <color rgb="FFBCBCBC"/>
      </top>
      <bottom style="thin">
        <color rgb="FFBCBCBC"/>
      </bottom>
      <diagonal/>
    </border>
    <border>
      <left style="thin">
        <color indexed="22"/>
      </left>
      <right style="thin">
        <color indexed="22"/>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top style="thin">
        <color indexed="22"/>
      </top>
      <bottom style="thin">
        <color indexed="22"/>
      </bottom>
      <diagonal/>
    </border>
    <border>
      <left/>
      <right/>
      <top style="thin">
        <color indexed="22"/>
      </top>
      <bottom style="thin">
        <color indexed="22"/>
      </bottom>
      <diagonal/>
    </border>
    <border>
      <left style="thin">
        <color rgb="FFD3DBDB"/>
      </left>
      <right style="thin">
        <color rgb="FFD3DBDB"/>
      </right>
      <top style="thin">
        <color rgb="FFD3DBDB"/>
      </top>
      <bottom style="thin">
        <color rgb="FFD3DBDB"/>
      </bottom>
      <diagonal/>
    </border>
    <border>
      <left style="thin">
        <color indexed="22"/>
      </left>
      <right style="thin">
        <color indexed="22"/>
      </right>
      <top style="thin">
        <color indexed="22"/>
      </top>
      <bottom/>
      <diagonal/>
    </border>
    <border>
      <left/>
      <right/>
      <top style="dotted">
        <color indexed="64"/>
      </top>
      <bottom style="dotted">
        <color indexed="64"/>
      </bottom>
      <diagonal/>
    </border>
    <border>
      <left/>
      <right/>
      <top style="thin">
        <color indexed="22"/>
      </top>
      <bottom/>
      <diagonal/>
    </border>
    <border>
      <left/>
      <right style="thin">
        <color indexed="22"/>
      </right>
      <top style="thin">
        <color indexed="22"/>
      </top>
      <bottom/>
      <diagonal/>
    </border>
    <border>
      <left/>
      <right/>
      <top style="thin">
        <color rgb="FFD3DBDB"/>
      </top>
      <bottom/>
      <diagonal/>
    </border>
    <border>
      <left style="thin">
        <color indexed="22"/>
      </left>
      <right/>
      <top/>
      <bottom/>
      <diagonal/>
    </border>
    <border>
      <left style="thin">
        <color indexed="22"/>
      </left>
      <right style="thin">
        <color indexed="22"/>
      </right>
      <top/>
      <bottom style="thin">
        <color indexed="22"/>
      </bottom>
      <diagonal/>
    </border>
    <border>
      <left/>
      <right style="thin">
        <color indexed="22"/>
      </right>
      <top/>
      <bottom/>
      <diagonal/>
    </border>
    <border>
      <left style="thin">
        <color indexed="22"/>
      </left>
      <right style="thin">
        <color indexed="22"/>
      </right>
      <top style="thin">
        <color indexed="22"/>
      </top>
      <bottom style="thin">
        <color rgb="FFBCBCBC"/>
      </bottom>
      <diagonal/>
    </border>
    <border>
      <left style="hair">
        <color indexed="22"/>
      </left>
      <right/>
      <top style="hair">
        <color indexed="22"/>
      </top>
      <bottom style="hair">
        <color indexed="22"/>
      </bottom>
      <diagonal/>
    </border>
    <border>
      <left/>
      <right/>
      <top/>
      <bottom style="thin">
        <color indexed="22"/>
      </bottom>
      <diagonal/>
    </border>
    <border>
      <left style="thin">
        <color theme="0" tint="-0.25"/>
      </left>
      <right style="thin">
        <color indexed="22"/>
      </right>
      <top style="thin">
        <color indexed="22"/>
      </top>
      <bottom style="thin">
        <color indexed="22"/>
      </bottom>
      <diagonal/>
    </border>
    <border>
      <left/>
      <right style="thin">
        <color indexed="22"/>
      </right>
      <top/>
      <bottom style="thin">
        <color indexed="22"/>
      </bottom>
      <diagonal/>
    </border>
    <border>
      <left style="thin">
        <color indexed="22"/>
      </left>
      <right/>
      <top/>
      <bottom style="thin">
        <color indexed="22"/>
      </bottom>
      <diagonal/>
    </border>
    <border>
      <left style="thin">
        <color theme="0" tint="-0.25"/>
      </left>
      <right style="thin">
        <color theme="0" tint="-0.25"/>
      </right>
      <top style="thin">
        <color theme="0" tint="-0.25"/>
      </top>
      <bottom style="thin">
        <color theme="0" tint="-0.25"/>
      </bottom>
      <diagonal/>
    </border>
    <border>
      <left style="thin">
        <color theme="0" tint="-0.25"/>
      </left>
      <right style="thin">
        <color theme="0" tint="-0.25"/>
      </right>
      <top/>
      <bottom style="thin">
        <color theme="0" tint="-0.25"/>
      </bottom>
      <diagonal/>
    </border>
    <border>
      <left style="thin">
        <color theme="0" tint="-0.25"/>
      </left>
      <right/>
      <top style="thin">
        <color theme="0" tint="-0.25"/>
      </top>
      <bottom style="thin">
        <color theme="0" tint="-0.25"/>
      </bottom>
      <diagonal/>
    </border>
    <border>
      <left style="thin">
        <color theme="0" tint="-0.25"/>
      </left>
      <right/>
      <top/>
      <bottom style="thin">
        <color theme="0" tint="-0.25"/>
      </bottom>
      <diagonal/>
    </border>
    <border>
      <left style="thin">
        <color theme="0" tint="-0.25"/>
      </left>
      <right style="thin">
        <color theme="0" tint="-0.25"/>
      </right>
      <top style="thin">
        <color theme="0" tint="-0.25"/>
      </top>
      <bottom/>
      <diagonal/>
    </border>
    <border>
      <left style="thin">
        <color indexed="22"/>
      </left>
      <right style="thin">
        <color indexed="22"/>
      </right>
      <top/>
      <bottom/>
      <diagonal/>
    </border>
    <border>
      <left style="thin">
        <color indexed="22"/>
      </left>
      <right/>
      <top style="thin">
        <color indexed="22"/>
      </top>
      <bottom/>
      <diagonal/>
    </border>
    <border>
      <left style="thin">
        <color rgb="FFBCBCBC"/>
      </left>
      <right/>
      <top/>
      <bottom/>
      <diagonal/>
    </border>
    <border>
      <left/>
      <right/>
      <top/>
      <bottom style="thin">
        <color rgb="FFBCBCBC"/>
      </bottom>
      <diagonal/>
    </border>
    <border>
      <left style="thin">
        <color theme="0" tint="-0.25"/>
      </left>
      <right style="thin">
        <color theme="0" tint="-0.25"/>
      </right>
      <top/>
      <bottom/>
      <diagonal/>
    </border>
    <border>
      <left/>
      <right/>
      <top style="thin">
        <color rgb="FFBCBCBC"/>
      </top>
      <bottom style="thin">
        <color rgb="FFBCBCBC"/>
      </bottom>
      <diagonal/>
    </border>
    <border>
      <left style="thin">
        <color indexed="22"/>
      </left>
      <right/>
      <top style="thin">
        <color rgb="FFBCBCBC"/>
      </top>
      <bottom style="thin">
        <color indexed="22"/>
      </bottom>
      <diagonal/>
    </border>
    <border>
      <left/>
      <right/>
      <top style="thin">
        <color rgb="FFBCBCBC"/>
      </top>
      <bottom style="thin">
        <color indexed="22"/>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9999999999998"/>
      </left>
      <right style="thin">
        <color theme="0" tint="-0.34999999999999998"/>
      </right>
      <top style="thin">
        <color theme="0" tint="-0.34999999999999998"/>
      </top>
      <bottom style="thin">
        <color theme="0" tint="-0.34999999999999998"/>
      </bottom>
      <diagonal/>
    </border>
    <border>
      <left style="thin">
        <color rgb="FFBCBCBC"/>
      </left>
      <right/>
      <top style="medium">
        <color rgb="FFBCBCBC"/>
      </top>
      <bottom style="thin">
        <color indexed="22"/>
      </bottom>
      <diagonal/>
    </border>
    <border>
      <left style="thin">
        <color rgb="FFBCBCBC"/>
      </left>
      <right/>
      <top style="medium">
        <color rgb="FFBCBCBC"/>
      </top>
      <bottom/>
      <diagonal/>
    </border>
    <border>
      <left/>
      <right/>
      <top style="medium">
        <color rgb="FFBCBCBC"/>
      </top>
      <bottom/>
      <diagonal/>
    </border>
    <border>
      <left/>
      <right/>
      <top/>
      <bottom style="medium">
        <color indexed="22"/>
      </bottom>
      <diagonal/>
    </border>
    <border>
      <left/>
      <right/>
      <top style="thin">
        <color indexed="22"/>
      </top>
      <bottom style="medium">
        <color indexed="22"/>
      </bottom>
      <diagonal/>
    </border>
    <border>
      <left/>
      <right style="thin">
        <color theme="0" tint="-0.25"/>
      </right>
      <top style="thin">
        <color indexed="22"/>
      </top>
      <bottom style="thin">
        <color indexed="22"/>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indexed="22"/>
      </top>
      <bottom style="thin">
        <color indexed="22"/>
      </bottom>
      <diagonal/>
    </border>
    <border>
      <left style="thin">
        <color indexed="22"/>
      </left>
      <right/>
      <top style="thin">
        <color indexed="22"/>
      </top>
      <bottom style="medium">
        <color indexed="22"/>
      </bottom>
      <diagonal/>
    </border>
    <border>
      <left style="thin">
        <color theme="0" tint="-0.25"/>
      </left>
      <right style="thin">
        <color indexed="22"/>
      </right>
      <top style="thin">
        <color indexed="22"/>
      </top>
      <bottom/>
      <diagonal/>
    </border>
    <border>
      <left style="thin">
        <color theme="0" tint="-0.25"/>
      </left>
      <right/>
      <top style="thin">
        <color indexed="22"/>
      </top>
      <bottom style="thin">
        <color indexed="22"/>
      </bottom>
      <diagonal/>
    </border>
    <border>
      <left style="thin">
        <color theme="0" tint="-0.25"/>
      </left>
      <right/>
      <top style="thin">
        <color indexed="22"/>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indexed="22"/>
      </left>
      <right style="thin">
        <color indexed="22"/>
      </right>
      <top style="thin">
        <color rgb="FFBCBCBC"/>
      </top>
      <bottom style="thin">
        <color rgb="FFBCBCBC"/>
      </bottom>
      <diagonal/>
    </border>
    <border>
      <left style="thin">
        <color indexed="22"/>
      </left>
      <right/>
      <top style="thin">
        <color rgb="FFBCBCBC"/>
      </top>
      <bottom style="thin">
        <color rgb="FFBCBCBC"/>
      </bottom>
      <diagonal/>
    </border>
    <border>
      <left/>
      <right style="thin">
        <color indexed="22"/>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indexed="22"/>
      </bottom>
      <diagonal/>
    </border>
    <border>
      <left style="thin">
        <color indexed="22"/>
      </left>
      <right style="thin">
        <color indexed="22"/>
      </right>
      <top style="thin">
        <color indexed="22"/>
      </top>
      <bottom style="medium">
        <color indexed="22"/>
      </bottom>
      <diagonal/>
    </border>
  </borders>
  <cellStyleXfs count="64">
    <xf fontId="0" fillId="0" borderId="0" numFmtId="49" applyNumberFormat="1" applyFont="1" applyFill="0" applyBorder="0">
      <alignment vertical="top"/>
    </xf>
    <xf fontId="1" fillId="2" borderId="0" numFmtId="0" applyFont="1" applyFill="1" applyBorder="0">
      <alignment vertical="top"/>
    </xf>
    <xf fontId="1" fillId="3" borderId="0" numFmtId="0" applyFont="1" applyFill="1" applyBorder="0">
      <alignment vertical="top"/>
    </xf>
    <xf fontId="1" fillId="4" borderId="0" numFmtId="0" applyFont="1" applyFill="1" applyBorder="0">
      <alignment vertical="top"/>
    </xf>
    <xf fontId="1" fillId="5" borderId="0" numFmtId="0" applyFont="1" applyFill="1" applyBorder="0">
      <alignment vertical="top"/>
    </xf>
    <xf fontId="1" fillId="6" borderId="0" numFmtId="0" applyFont="1" applyFill="1" applyBorder="0">
      <alignment vertical="top"/>
    </xf>
    <xf fontId="1" fillId="7" borderId="0" numFmtId="0" applyFont="1" applyFill="1" applyBorder="0">
      <alignment vertical="top"/>
    </xf>
    <xf fontId="1" fillId="8" borderId="0" numFmtId="0" applyFont="1" applyFill="1" applyBorder="0">
      <alignment vertical="top"/>
    </xf>
    <xf fontId="1" fillId="9" borderId="0" numFmtId="0" applyFont="1" applyFill="1" applyBorder="0">
      <alignment vertical="top"/>
    </xf>
    <xf fontId="1" fillId="10" borderId="0" numFmtId="0" applyFont="1" applyFill="1" applyBorder="0">
      <alignment vertical="top"/>
    </xf>
    <xf fontId="1" fillId="11" borderId="0" numFmtId="0" applyFont="1" applyFill="1" applyBorder="0">
      <alignment vertical="top"/>
    </xf>
    <xf fontId="1" fillId="12" borderId="0" numFmtId="0" applyFont="1" applyFill="1" applyBorder="0">
      <alignment vertical="top"/>
    </xf>
    <xf fontId="1" fillId="13" borderId="0" numFmtId="0" applyFont="1" applyFill="1" applyBorder="0">
      <alignment vertical="top"/>
    </xf>
    <xf fontId="1" fillId="14" borderId="0" numFmtId="0" applyFont="1" applyFill="1" applyBorder="0">
      <alignment vertical="top"/>
    </xf>
    <xf fontId="1" fillId="15" borderId="0" numFmtId="0" applyFont="1" applyFill="1" applyBorder="0">
      <alignment vertical="top"/>
    </xf>
    <xf fontId="1" fillId="16" borderId="0" numFmtId="0" applyFont="1" applyFill="1" applyBorder="0">
      <alignment vertical="top"/>
    </xf>
    <xf fontId="1" fillId="17" borderId="0" numFmtId="0" applyFont="1" applyFill="1" applyBorder="0">
      <alignment vertical="top"/>
    </xf>
    <xf fontId="1" fillId="18" borderId="0" numFmtId="0" applyFont="1" applyFill="1" applyBorder="0">
      <alignment vertical="top"/>
    </xf>
    <xf fontId="1" fillId="19" borderId="0" numFmtId="0" applyFont="1" applyFill="1" applyBorder="0">
      <alignment vertical="top"/>
    </xf>
    <xf fontId="2" fillId="20" borderId="0" numFmtId="0" applyFont="1" applyFill="1" applyBorder="0">
      <alignment vertical="top"/>
    </xf>
    <xf fontId="2" fillId="21" borderId="0" numFmtId="0" applyFont="1" applyFill="1" applyBorder="0">
      <alignment vertical="top"/>
    </xf>
    <xf fontId="2" fillId="22" borderId="0" numFmtId="0" applyFont="1" applyFill="1" applyBorder="0">
      <alignment vertical="top"/>
    </xf>
    <xf fontId="2" fillId="23" borderId="0" numFmtId="0" applyFont="1" applyFill="1" applyBorder="0">
      <alignment vertical="top"/>
    </xf>
    <xf fontId="2" fillId="24" borderId="0" numFmtId="0" applyFont="1" applyFill="1" applyBorder="0">
      <alignment vertical="top"/>
    </xf>
    <xf fontId="2" fillId="25" borderId="0" numFmtId="0" applyFont="1" applyFill="1" applyBorder="0">
      <alignment vertical="top"/>
    </xf>
    <xf fontId="3" fillId="26" borderId="0" numFmtId="0" applyFont="1" applyFill="1" applyBorder="0">
      <alignment vertical="top"/>
    </xf>
    <xf fontId="4" fillId="27" borderId="1" numFmtId="0" applyFont="1" applyFill="1" applyBorder="1">
      <alignment vertical="top"/>
    </xf>
    <xf fontId="5" fillId="28" borderId="2" numFmtId="0" applyFont="1" applyFill="1" applyBorder="1">
      <alignment vertical="top"/>
    </xf>
    <xf fontId="6" fillId="0" borderId="0" numFmtId="182" applyNumberFormat="1" applyFont="0" applyFill="0" applyBorder="0">
      <alignment vertical="top"/>
    </xf>
    <xf fontId="6" fillId="0" borderId="0" numFmtId="183" applyNumberFormat="1" applyFont="0" applyFill="0" applyBorder="0">
      <alignment vertical="top"/>
    </xf>
    <xf fontId="6" fillId="0" borderId="0" numFmtId="184" applyNumberFormat="1" applyFont="0" applyFill="0" applyBorder="0">
      <alignment vertical="top"/>
    </xf>
    <xf fontId="6" fillId="0" borderId="0" numFmtId="185" applyNumberFormat="1" applyFont="0" applyFill="0" applyBorder="0">
      <alignment vertical="top"/>
    </xf>
    <xf fontId="7" fillId="0" borderId="0" numFmtId="0" applyFont="1" applyFill="0" applyBorder="0">
      <alignment vertical="top"/>
    </xf>
    <xf fontId="8" fillId="29" borderId="0" numFmtId="0" applyFont="1" applyFill="1" applyBorder="0">
      <alignment vertical="top"/>
    </xf>
    <xf fontId="9" fillId="0" borderId="3" numFmtId="0" applyFont="1" applyFill="0" applyBorder="1">
      <alignment vertical="top"/>
    </xf>
    <xf fontId="10" fillId="0" borderId="4" numFmtId="0" applyFont="1" applyFill="0" applyBorder="1">
      <alignment vertical="top"/>
    </xf>
    <xf fontId="11" fillId="0" borderId="5" numFmtId="0" applyFont="1" applyFill="0" applyBorder="1">
      <alignment vertical="top"/>
    </xf>
    <xf fontId="11" fillId="0" borderId="0" numFmtId="0" applyFont="1" applyFill="0" applyBorder="0">
      <alignment vertical="top"/>
    </xf>
    <xf fontId="12" fillId="30" borderId="1" numFmtId="0" applyFont="1" applyFill="1" applyBorder="1">
      <alignment vertical="top"/>
    </xf>
    <xf fontId="13" fillId="0" borderId="6" numFmtId="0" applyFont="1" applyFill="0" applyBorder="1">
      <alignment vertical="top"/>
    </xf>
    <xf fontId="14" fillId="31" borderId="0" numFmtId="0" applyFont="1" applyFill="1" applyBorder="0">
      <alignment vertical="top"/>
    </xf>
    <xf fontId="15" fillId="0" borderId="0" numFmtId="0" applyFont="1" applyFill="0" applyBorder="0">
      <alignment vertical="top"/>
    </xf>
    <xf fontId="6" fillId="32" borderId="7" numFmtId="0" applyFont="0" applyFill="1" applyBorder="1">
      <alignment vertical="top"/>
    </xf>
    <xf fontId="16" fillId="27" borderId="8" numFmtId="0" applyFont="1" applyFill="1" applyBorder="1">
      <alignment vertical="top"/>
    </xf>
    <xf fontId="6" fillId="0" borderId="0" numFmtId="9" applyNumberFormat="1" applyFont="0" applyFill="0" applyBorder="0">
      <alignment vertical="top"/>
    </xf>
    <xf fontId="17" fillId="0" borderId="0" numFmtId="0" applyFont="1" applyFill="0" applyBorder="0">
      <alignment vertical="top"/>
    </xf>
    <xf fontId="18" fillId="0" borderId="9" numFmtId="0" applyFont="1" applyFill="0" applyBorder="1">
      <alignment vertical="top"/>
    </xf>
    <xf fontId="19" fillId="0" borderId="0" numFmtId="0" applyFont="1" applyFill="0" applyBorder="0">
      <alignment vertical="top"/>
    </xf>
    <xf fontId="20" fillId="0" borderId="0" numFmtId="0" applyFont="1" applyFill="0" applyBorder="0"/>
    <xf fontId="20" fillId="0" borderId="0" numFmtId="186" applyNumberFormat="1" applyFont="1" applyFill="0" applyBorder="0"/>
    <xf fontId="21" fillId="0" borderId="0" numFmtId="38" applyNumberFormat="1" applyFont="1" applyFill="0" applyBorder="0">
      <alignment vertical="top"/>
    </xf>
    <xf fontId="22" fillId="33" borderId="0" numFmtId="187" applyNumberFormat="1" applyFont="1" applyFill="1" applyBorder="0">
      <protection locked="0"/>
    </xf>
    <xf fontId="23" fillId="0" borderId="0" numFmtId="0" applyFont="1" applyFill="0" applyBorder="0">
      <alignment vertical="center"/>
    </xf>
    <xf fontId="22" fillId="33" borderId="0" numFmtId="188" applyNumberFormat="1" applyFont="1" applyFill="1" applyBorder="0">
      <protection locked="0"/>
    </xf>
    <xf fontId="22" fillId="33" borderId="0" numFmtId="189" applyNumberFormat="1" applyFont="1" applyFill="1" applyBorder="0">
      <protection locked="0"/>
    </xf>
    <xf fontId="24" fillId="0" borderId="0" numFmtId="0" applyFont="1" applyFill="0" applyBorder="0">
      <alignment vertical="top"/>
    </xf>
    <xf fontId="25" fillId="0" borderId="0" numFmtId="0" applyFont="1" applyFill="0" applyBorder="0">
      <alignment vertical="top"/>
    </xf>
    <xf fontId="26" fillId="0" borderId="0" numFmtId="0" applyFont="1" applyFill="0" applyBorder="0"/>
    <xf fontId="27" fillId="0" borderId="0" numFmtId="0" applyFont="1" applyFill="0" applyBorder="0">
      <alignment vertical="top"/>
    </xf>
    <xf fontId="22" fillId="0" borderId="0" numFmtId="49" applyNumberFormat="1" applyFont="1" applyFill="0" applyBorder="0">
      <alignment vertical="top"/>
    </xf>
    <xf fontId="28" fillId="0" borderId="0" numFmtId="0" applyFont="1" applyFill="0" applyBorder="0"/>
    <xf fontId="0" fillId="0" borderId="0" numFmtId="49" applyNumberFormat="1" applyFont="1" applyFill="0" applyBorder="0">
      <alignment vertical="top"/>
    </xf>
    <xf fontId="29" fillId="0" borderId="0" numFmtId="0" applyFont="1" applyFill="0" applyBorder="0"/>
    <xf fontId="30" fillId="0" borderId="0" numFmtId="0" applyFont="1" applyFill="0" applyBorder="0">
      <alignment vertical="top"/>
    </xf>
  </cellStyleXfs>
  <cellXfs count="2643">
    <xf fontId="0" fillId="0" borderId="0" numFmtId="49" xfId="0" applyNumberFormat="1" applyFont="1">
      <alignment vertical="top"/>
    </xf>
    <xf fontId="1" fillId="2" borderId="0" numFmtId="0" xfId="1" applyFont="1" applyFill="1">
      <alignment vertical="top"/>
    </xf>
    <xf fontId="1" fillId="3" borderId="0" numFmtId="0" xfId="2" applyFont="1" applyFill="1">
      <alignment vertical="top"/>
    </xf>
    <xf fontId="1" fillId="4" borderId="0" numFmtId="0" xfId="3" applyFont="1" applyFill="1">
      <alignment vertical="top"/>
    </xf>
    <xf fontId="1" fillId="5" borderId="0" numFmtId="0" xfId="4" applyFont="1" applyFill="1">
      <alignment vertical="top"/>
    </xf>
    <xf fontId="1" fillId="6" borderId="0" numFmtId="0" xfId="5" applyFont="1" applyFill="1">
      <alignment vertical="top"/>
    </xf>
    <xf fontId="1" fillId="7" borderId="0" numFmtId="0" xfId="6" applyFont="1" applyFill="1">
      <alignment vertical="top"/>
    </xf>
    <xf fontId="1" fillId="8" borderId="0" numFmtId="0" xfId="7" applyFont="1" applyFill="1">
      <alignment vertical="top"/>
    </xf>
    <xf fontId="1" fillId="9" borderId="0" numFmtId="0" xfId="8" applyFont="1" applyFill="1">
      <alignment vertical="top"/>
    </xf>
    <xf fontId="1" fillId="10" borderId="0" numFmtId="0" xfId="9" applyFont="1" applyFill="1">
      <alignment vertical="top"/>
    </xf>
    <xf fontId="1" fillId="11" borderId="0" numFmtId="0" xfId="10" applyFont="1" applyFill="1">
      <alignment vertical="top"/>
    </xf>
    <xf fontId="1" fillId="12" borderId="0" numFmtId="0" xfId="11" applyFont="1" applyFill="1">
      <alignment vertical="top"/>
    </xf>
    <xf fontId="1" fillId="13" borderId="0" numFmtId="0" xfId="12" applyFont="1" applyFill="1">
      <alignment vertical="top"/>
    </xf>
    <xf fontId="1" fillId="14" borderId="0" numFmtId="0" xfId="13" applyFont="1" applyFill="1">
      <alignment vertical="top"/>
    </xf>
    <xf fontId="1" fillId="15" borderId="0" numFmtId="0" xfId="14" applyFont="1" applyFill="1">
      <alignment vertical="top"/>
    </xf>
    <xf fontId="1" fillId="16" borderId="0" numFmtId="0" xfId="15" applyFont="1" applyFill="1">
      <alignment vertical="top"/>
    </xf>
    <xf fontId="1" fillId="17" borderId="0" numFmtId="0" xfId="16" applyFont="1" applyFill="1">
      <alignment vertical="top"/>
    </xf>
    <xf fontId="1" fillId="18" borderId="0" numFmtId="0" xfId="17" applyFont="1" applyFill="1">
      <alignment vertical="top"/>
    </xf>
    <xf fontId="1" fillId="19" borderId="0" numFmtId="0" xfId="18" applyFont="1" applyFill="1">
      <alignment vertical="top"/>
    </xf>
    <xf fontId="2" fillId="20" borderId="0" numFmtId="0" xfId="19" applyFont="1" applyFill="1">
      <alignment vertical="top"/>
    </xf>
    <xf fontId="2" fillId="21" borderId="0" numFmtId="0" xfId="20" applyFont="1" applyFill="1">
      <alignment vertical="top"/>
    </xf>
    <xf fontId="2" fillId="22" borderId="0" numFmtId="0" xfId="21" applyFont="1" applyFill="1">
      <alignment vertical="top"/>
    </xf>
    <xf fontId="2" fillId="23" borderId="0" numFmtId="0" xfId="22" applyFont="1" applyFill="1">
      <alignment vertical="top"/>
    </xf>
    <xf fontId="2" fillId="24" borderId="0" numFmtId="0" xfId="23" applyFont="1" applyFill="1">
      <alignment vertical="top"/>
    </xf>
    <xf fontId="2" fillId="25" borderId="0" numFmtId="0" xfId="24" applyFont="1" applyFill="1">
      <alignment vertical="top"/>
    </xf>
    <xf fontId="3" fillId="26" borderId="0" numFmtId="0" xfId="25" applyFont="1" applyFill="1">
      <alignment vertical="top"/>
    </xf>
    <xf fontId="4" fillId="27" borderId="1" numFmtId="0" xfId="26" applyFont="1" applyFill="1" applyBorder="1">
      <alignment vertical="top"/>
    </xf>
    <xf fontId="5" fillId="28" borderId="2" numFmtId="0" xfId="27" applyFont="1" applyFill="1" applyBorder="1">
      <alignment vertical="top"/>
    </xf>
    <xf fontId="6" fillId="0" borderId="0" numFmtId="182" xfId="28" applyNumberFormat="1" applyFont="0">
      <alignment vertical="top"/>
    </xf>
    <xf fontId="6" fillId="0" borderId="0" numFmtId="183" xfId="29" applyNumberFormat="1" applyFont="0">
      <alignment vertical="top"/>
    </xf>
    <xf fontId="6" fillId="0" borderId="0" numFmtId="184" xfId="30" applyNumberFormat="1" applyFont="0">
      <alignment vertical="top"/>
    </xf>
    <xf fontId="6" fillId="0" borderId="0" numFmtId="185" xfId="31" applyNumberFormat="1" applyFont="0">
      <alignment vertical="top"/>
    </xf>
    <xf fontId="7" fillId="0" borderId="0" numFmtId="0" xfId="32" applyFont="1">
      <alignment vertical="top"/>
    </xf>
    <xf fontId="8" fillId="29" borderId="0" numFmtId="0" xfId="33" applyFont="1" applyFill="1">
      <alignment vertical="top"/>
    </xf>
    <xf fontId="9" fillId="0" borderId="3" numFmtId="0" xfId="34" applyFont="1" applyBorder="1">
      <alignment vertical="top"/>
    </xf>
    <xf fontId="10" fillId="0" borderId="4" numFmtId="0" xfId="35" applyFont="1" applyBorder="1">
      <alignment vertical="top"/>
    </xf>
    <xf fontId="11" fillId="0" borderId="5" numFmtId="0" xfId="36" applyFont="1" applyBorder="1">
      <alignment vertical="top"/>
    </xf>
    <xf fontId="11" fillId="0" borderId="0" numFmtId="0" xfId="37" applyFont="1">
      <alignment vertical="top"/>
    </xf>
    <xf fontId="12" fillId="30" borderId="1" numFmtId="0" xfId="38" applyFont="1" applyFill="1" applyBorder="1">
      <alignment vertical="top"/>
    </xf>
    <xf fontId="13" fillId="0" borderId="6" numFmtId="0" xfId="39" applyFont="1" applyBorder="1">
      <alignment vertical="top"/>
    </xf>
    <xf fontId="14" fillId="31" borderId="0" numFmtId="0" xfId="40" applyFont="1" applyFill="1">
      <alignment vertical="top"/>
    </xf>
    <xf fontId="15" fillId="0" borderId="0" numFmtId="0" xfId="41" applyFont="1">
      <alignment vertical="top"/>
    </xf>
    <xf fontId="6" fillId="32" borderId="7" numFmtId="0" xfId="42" applyFont="0" applyFill="1" applyBorder="1">
      <alignment vertical="top"/>
    </xf>
    <xf fontId="16" fillId="27" borderId="8" numFmtId="0" xfId="43" applyFont="1" applyFill="1" applyBorder="1">
      <alignment vertical="top"/>
    </xf>
    <xf fontId="6" fillId="0" borderId="0" numFmtId="9" xfId="44" applyNumberFormat="1" applyFont="0">
      <alignment vertical="top"/>
    </xf>
    <xf fontId="17" fillId="0" borderId="0" numFmtId="0" xfId="45" applyFont="1">
      <alignment vertical="top"/>
    </xf>
    <xf fontId="18" fillId="0" borderId="9" numFmtId="0" xfId="46" applyFont="1" applyBorder="1">
      <alignment vertical="top"/>
    </xf>
    <xf fontId="19" fillId="0" borderId="0" numFmtId="0" xfId="47" applyFont="1">
      <alignment vertical="top"/>
    </xf>
    <xf fontId="20" fillId="0" borderId="0" numFmtId="0" xfId="48" applyFont="1"/>
    <xf fontId="20" fillId="0" borderId="0" numFmtId="186" xfId="49" applyNumberFormat="1" applyFont="1"/>
    <xf fontId="21" fillId="0" borderId="0" numFmtId="38" xfId="50" applyNumberFormat="1" applyFont="1">
      <alignment vertical="top"/>
    </xf>
    <xf fontId="22" fillId="33" borderId="0" numFmtId="187" xfId="51" applyNumberFormat="1" applyFont="1" applyFill="1">
      <protection locked="0"/>
    </xf>
    <xf fontId="23" fillId="0" borderId="0" numFmtId="0" xfId="52" applyFont="1">
      <alignment vertical="center"/>
    </xf>
    <xf fontId="22" fillId="33" borderId="0" numFmtId="188" xfId="53" applyNumberFormat="1" applyFont="1" applyFill="1">
      <protection locked="0"/>
    </xf>
    <xf fontId="22" fillId="33" borderId="0" numFmtId="189" xfId="54" applyNumberFormat="1" applyFont="1" applyFill="1">
      <protection locked="0"/>
    </xf>
    <xf fontId="24" fillId="0" borderId="0" numFmtId="0" xfId="55" applyFont="1">
      <alignment vertical="top"/>
    </xf>
    <xf fontId="25" fillId="0" borderId="0" numFmtId="0" xfId="56" applyFont="1">
      <alignment vertical="top"/>
    </xf>
    <xf fontId="26" fillId="0" borderId="0" numFmtId="0" xfId="57" applyFont="1"/>
    <xf fontId="27" fillId="0" borderId="0" numFmtId="0" xfId="58" applyFont="1">
      <alignment vertical="top"/>
    </xf>
    <xf fontId="22" fillId="0" borderId="0" numFmtId="49" xfId="59" applyNumberFormat="1" applyFont="1">
      <alignment vertical="top"/>
    </xf>
    <xf fontId="28" fillId="0" borderId="0" numFmtId="0" xfId="60" applyFont="1"/>
    <xf fontId="0" fillId="0" borderId="0" numFmtId="49" xfId="61" applyNumberFormat="1" applyFont="1">
      <alignment vertical="top"/>
    </xf>
    <xf fontId="29" fillId="0" borderId="0" numFmtId="0" xfId="62" applyFont="1"/>
    <xf fontId="30" fillId="0" borderId="0" numFmtId="0" xfId="63" applyFont="1">
      <alignment vertical="top"/>
    </xf>
    <xf fontId="0" fillId="0" borderId="0" numFmtId="49" xfId="61" applyNumberFormat="1" applyFont="1">
      <alignment vertical="top"/>
    </xf>
    <xf fontId="22" fillId="0" borderId="0" numFmtId="0" xfId="0" applyFont="1">
      <alignment vertical="top" wrapText="1"/>
    </xf>
    <xf fontId="0" fillId="0" borderId="0" numFmtId="49" xfId="0" applyNumberFormat="1" applyFont="1">
      <alignment vertical="top"/>
    </xf>
    <xf fontId="22" fillId="34" borderId="10" numFmtId="49" xfId="0" applyNumberFormat="1" applyFont="1" applyFill="1" applyBorder="1">
      <alignment horizontal="center" vertical="top"/>
    </xf>
    <xf fontId="0" fillId="0" borderId="0" numFmtId="49" xfId="0" applyNumberFormat="1" applyFont="1">
      <alignment vertical="top"/>
    </xf>
    <xf fontId="22" fillId="0" borderId="0" numFmtId="0" xfId="0" applyFont="1"/>
    <xf fontId="22" fillId="35" borderId="0" numFmtId="0" xfId="0" applyFont="1" applyFill="1"/>
    <xf fontId="31" fillId="0" borderId="0" numFmtId="0" xfId="0" applyFont="1">
      <alignment vertical="center" wrapText="1"/>
    </xf>
    <xf fontId="32" fillId="0" borderId="0" numFmtId="0" xfId="0" applyFont="1">
      <alignment vertical="center" wrapText="1"/>
    </xf>
    <xf fontId="22" fillId="35" borderId="0" numFmtId="0" xfId="0" applyFont="1" applyFill="1">
      <alignment vertical="center" wrapText="1"/>
    </xf>
    <xf fontId="22" fillId="0" borderId="0" numFmtId="0" xfId="0" applyFont="1">
      <alignment vertical="center" wrapText="1"/>
    </xf>
    <xf fontId="33" fillId="35" borderId="0" numFmtId="0" xfId="0" applyFont="1" applyFill="1">
      <alignment vertical="center" wrapText="1"/>
    </xf>
    <xf fontId="22" fillId="35" borderId="0" numFmtId="0" xfId="0" applyFont="1" applyFill="1">
      <alignment horizontal="right" indent="1" vertical="center" wrapText="1"/>
    </xf>
    <xf fontId="22" fillId="35" borderId="0" numFmtId="0" xfId="0" applyFont="1" applyFill="1">
      <alignment horizontal="center" vertical="center" wrapText="1"/>
    </xf>
    <xf fontId="32" fillId="0" borderId="0" numFmtId="0" xfId="0" applyFont="1">
      <alignment horizontal="center" vertical="center" wrapText="1"/>
    </xf>
    <xf fontId="34" fillId="35" borderId="0" numFmtId="0" xfId="0" applyFont="1" applyFill="1">
      <alignment horizontal="center" vertical="center" wrapText="1"/>
    </xf>
    <xf fontId="22" fillId="0" borderId="0" numFmtId="0" xfId="0" applyFont="1">
      <alignment vertical="center"/>
    </xf>
    <xf fontId="22" fillId="35" borderId="0" numFmtId="49" xfId="0" applyNumberFormat="1" applyFont="1" applyFill="1">
      <alignment horizontal="right" indent="1" vertical="center" wrapText="1"/>
    </xf>
    <xf fontId="33" fillId="35" borderId="0" numFmtId="49" xfId="0" applyNumberFormat="1" applyFont="1" applyFill="1">
      <alignment horizontal="center" vertical="center" wrapText="1"/>
    </xf>
    <xf fontId="22" fillId="0" borderId="0" numFmtId="0" xfId="0" applyFont="1">
      <alignment vertical="center" wrapText="1"/>
    </xf>
    <xf fontId="22" fillId="35" borderId="0" numFmtId="0" xfId="0" applyFont="1" applyFill="1">
      <alignment vertical="center" wrapText="1"/>
    </xf>
    <xf fontId="22" fillId="35" borderId="0" numFmtId="0" xfId="0" applyFont="1" applyFill="1">
      <alignment horizontal="right" vertical="center" wrapText="1"/>
    </xf>
    <xf fontId="0" fillId="35" borderId="0" numFmtId="49" xfId="0" applyNumberFormat="1" applyFont="1" applyFill="1">
      <alignment horizontal="right" indent="1" vertical="center" wrapText="1"/>
    </xf>
    <xf fontId="35" fillId="35" borderId="0" numFmtId="49" xfId="0" applyNumberFormat="1" applyFont="1" applyFill="1">
      <alignment horizontal="center" vertical="center" wrapText="1"/>
    </xf>
    <xf fontId="0" fillId="0" borderId="0" numFmtId="49" xfId="0" applyNumberFormat="1" applyFont="1">
      <alignment vertical="top"/>
    </xf>
    <xf fontId="0" fillId="0" borderId="0" numFmtId="49" xfId="0" applyNumberFormat="1" applyFont="1">
      <alignment vertical="top"/>
    </xf>
    <xf fontId="36" fillId="35" borderId="0" numFmtId="0" xfId="0" applyFont="1" applyFill="1">
      <alignment horizontal="center" vertical="center" wrapText="1"/>
    </xf>
    <xf fontId="36" fillId="0" borderId="0" numFmtId="0" xfId="0" applyFont="1">
      <alignment horizontal="center" vertical="center"/>
    </xf>
    <xf fontId="36" fillId="35" borderId="0" numFmtId="0" xfId="0" applyFont="1" applyFill="1">
      <alignment horizontal="center" vertical="center"/>
    </xf>
    <xf fontId="37" fillId="0" borderId="11" numFmtId="49" xfId="0" applyNumberFormat="1" applyFont="1" applyBorder="1">
      <alignment vertical="top" wrapText="1"/>
    </xf>
    <xf fontId="0" fillId="0" borderId="11" numFmtId="0" xfId="0" applyFont="1" applyBorder="1">
      <alignment vertical="top" wrapText="1"/>
    </xf>
    <xf fontId="22" fillId="35" borderId="0" numFmtId="0" xfId="0" applyFont="1" applyFill="1">
      <alignment horizontal="center" vertical="center" wrapText="1"/>
    </xf>
    <xf fontId="38" fillId="35" borderId="0" numFmtId="0" xfId="0" applyFont="1" applyFill="1">
      <alignment vertical="center" wrapText="1"/>
    </xf>
    <xf fontId="38" fillId="0" borderId="0" numFmtId="0" xfId="0" applyFont="1">
      <alignment vertical="center" wrapText="1"/>
    </xf>
    <xf fontId="31" fillId="0" borderId="0" numFmtId="0" xfId="0" applyFont="1">
      <alignment horizontal="left" vertical="center" wrapText="1"/>
    </xf>
    <xf fontId="31" fillId="0" borderId="0" numFmtId="49" xfId="0" applyNumberFormat="1" applyFont="1">
      <alignment horizontal="left" vertical="center" wrapText="1"/>
    </xf>
    <xf fontId="0" fillId="0" borderId="0" numFmtId="0" xfId="0" applyFont="1">
      <alignment vertical="top"/>
    </xf>
    <xf fontId="22" fillId="0" borderId="0" numFmtId="49" xfId="0" applyNumberFormat="1" applyFont="1">
      <alignment vertical="center" wrapText="1"/>
    </xf>
    <xf fontId="22" fillId="0" borderId="0" numFmtId="49" xfId="0" applyNumberFormat="1" applyFont="1">
      <alignment vertical="top"/>
    </xf>
    <xf fontId="22" fillId="0" borderId="0" numFmtId="0" xfId="0" applyFont="1">
      <alignment vertical="center" wrapText="1"/>
    </xf>
    <xf fontId="0" fillId="0" borderId="0" numFmtId="0" xfId="0" applyFont="1">
      <alignment vertical="center"/>
    </xf>
    <xf fontId="22" fillId="35" borderId="12" numFmtId="0" xfId="0" applyFont="1" applyFill="1" applyBorder="1">
      <alignment horizontal="center" vertical="center" wrapText="1"/>
    </xf>
    <xf fontId="22" fillId="36" borderId="12" numFmtId="49" xfId="0" applyNumberFormat="1" applyFont="1" applyFill="1" applyBorder="1">
      <alignment horizontal="left" vertical="center" wrapText="1"/>
      <protection locked="0"/>
    </xf>
    <xf fontId="39" fillId="37" borderId="13" numFmtId="49" xfId="0" applyNumberFormat="1" applyFont="1" applyFill="1" applyBorder="1">
      <alignment horizontal="left" vertical="center"/>
    </xf>
    <xf fontId="0" fillId="0" borderId="12" numFmtId="0" xfId="0" applyFont="1" applyBorder="1">
      <alignment horizontal="center" vertical="center" wrapText="1"/>
    </xf>
    <xf fontId="22" fillId="37" borderId="14" numFmtId="0" xfId="0" applyFont="1" applyFill="1" applyBorder="1">
      <alignment vertical="center" wrapText="1"/>
    </xf>
    <xf fontId="22" fillId="0" borderId="12" numFmtId="0" xfId="0" applyFont="1" applyBorder="1">
      <alignment horizontal="center" vertical="center" wrapText="1"/>
    </xf>
    <xf fontId="40" fillId="0" borderId="0" numFmtId="0" xfId="0" applyFont="1">
      <alignment vertical="center"/>
    </xf>
    <xf fontId="22" fillId="0" borderId="12" numFmtId="49" xfId="0" applyNumberFormat="1" applyFont="1" applyBorder="1">
      <alignment horizontal="center" vertical="center" wrapText="1"/>
    </xf>
    <xf fontId="22" fillId="35" borderId="12" numFmtId="0" xfId="0" applyFont="1" applyFill="1" applyBorder="1">
      <alignment horizontal="center" vertical="center"/>
    </xf>
    <xf fontId="22" fillId="36" borderId="12" numFmtId="49" xfId="0" applyNumberFormat="1" applyFont="1" applyFill="1" applyBorder="1">
      <alignment horizontal="left" vertical="center" wrapText="1"/>
      <protection locked="0"/>
    </xf>
    <xf fontId="31" fillId="0" borderId="0" numFmtId="0" xfId="0" applyFont="1">
      <alignment vertical="center" wrapText="1"/>
    </xf>
    <xf fontId="41" fillId="0" borderId="0" numFmtId="0" xfId="0" applyFont="1">
      <alignment vertical="center" wrapText="1"/>
    </xf>
    <xf fontId="22" fillId="0" borderId="0" numFmtId="49" xfId="0" applyNumberFormat="1" applyFont="1">
      <alignment vertical="top"/>
    </xf>
    <xf fontId="31" fillId="0" borderId="0" numFmtId="49" xfId="0" applyNumberFormat="1" applyFont="1">
      <alignment vertical="top"/>
    </xf>
    <xf fontId="22" fillId="0" borderId="0" numFmtId="49" xfId="0" applyNumberFormat="1" applyFont="1">
      <alignment vertical="top"/>
    </xf>
    <xf fontId="36" fillId="0" borderId="0" numFmtId="49" xfId="0" applyNumberFormat="1" applyFont="1">
      <alignment horizontal="center" vertical="center"/>
    </xf>
    <xf fontId="22" fillId="0" borderId="0" numFmtId="49" xfId="0" applyNumberFormat="1" applyFont="1">
      <alignment vertical="top"/>
    </xf>
    <xf fontId="22" fillId="35" borderId="0" numFmtId="0" xfId="0" applyFont="1" applyFill="1"/>
    <xf fontId="42" fillId="35" borderId="0" numFmtId="0" xfId="0" applyFont="1" applyFill="1">
      <alignment horizontal="center" vertical="center" wrapText="1"/>
    </xf>
    <xf fontId="31" fillId="35" borderId="0" numFmtId="0" xfId="0" applyFont="1" applyFill="1"/>
    <xf fontId="22" fillId="0" borderId="0" numFmtId="49" xfId="0" applyNumberFormat="1" applyFont="1">
      <alignment vertical="top"/>
    </xf>
    <xf fontId="36" fillId="0" borderId="0" numFmtId="49" xfId="0" applyNumberFormat="1" applyFont="1">
      <alignment horizontal="center" vertical="center" wrapText="1"/>
    </xf>
    <xf fontId="22" fillId="35" borderId="12" numFmtId="0" xfId="0" applyFont="1" applyFill="1" applyBorder="1">
      <alignment horizontal="center" vertical="center" wrapText="1"/>
    </xf>
    <xf fontId="22" fillId="0" borderId="12" numFmtId="49" xfId="0" applyNumberFormat="1" applyFont="1" applyBorder="1">
      <alignment horizontal="center" vertical="center" wrapText="1"/>
    </xf>
    <xf fontId="43" fillId="37" borderId="15" numFmtId="49" xfId="0" applyNumberFormat="1" applyFont="1" applyFill="1" applyBorder="1">
      <alignment horizontal="center" vertical="top"/>
    </xf>
    <xf fontId="39" fillId="37" borderId="15" numFmtId="49" xfId="0" applyNumberFormat="1" applyFont="1" applyFill="1" applyBorder="1">
      <alignment horizontal="left" vertical="center"/>
    </xf>
    <xf fontId="22" fillId="0" borderId="0" numFmtId="49" xfId="0" applyNumberFormat="1" applyFont="1">
      <alignment horizontal="center" vertical="top"/>
    </xf>
    <xf fontId="40" fillId="0" borderId="0" numFmtId="0" xfId="0" applyFont="1">
      <alignment vertical="center"/>
    </xf>
    <xf fontId="0" fillId="0" borderId="0" numFmtId="0" xfId="0" applyFont="1">
      <alignment horizontal="center" vertical="center" wrapText="1"/>
    </xf>
    <xf fontId="22" fillId="0" borderId="0" numFmtId="49" xfId="0" applyNumberFormat="1" applyFont="1">
      <alignment horizontal="center" vertical="center" wrapText="1"/>
    </xf>
    <xf fontId="22" fillId="0" borderId="0" numFmtId="49" xfId="0" applyNumberFormat="1" applyFont="1">
      <alignment vertical="center" wrapText="1"/>
    </xf>
    <xf fontId="36" fillId="35" borderId="0" numFmtId="0" xfId="0" applyFont="1" applyFill="1">
      <alignment horizontal="center" vertical="center" wrapText="1"/>
    </xf>
    <xf fontId="44" fillId="0" borderId="0" numFmtId="49" xfId="0" applyNumberFormat="1" applyFont="1">
      <alignment horizontal="right" vertical="top"/>
    </xf>
    <xf fontId="44" fillId="0" borderId="0" numFmtId="49" xfId="0" applyNumberFormat="1" applyFont="1">
      <alignment vertical="top"/>
    </xf>
    <xf fontId="22" fillId="0" borderId="0" numFmtId="0" xfId="0" applyFont="1">
      <alignment horizontal="center" vertical="center" wrapText="1"/>
    </xf>
    <xf fontId="22" fillId="0" borderId="0" numFmtId="49" xfId="0" applyNumberFormat="1" applyFont="1">
      <alignment vertical="top"/>
    </xf>
    <xf fontId="0" fillId="0" borderId="0" numFmtId="0" xfId="0" applyFont="1">
      <alignment vertical="center"/>
    </xf>
    <xf fontId="45" fillId="0" borderId="0" numFmtId="0" xfId="0" applyFont="1">
      <alignment vertical="center" wrapText="1"/>
    </xf>
    <xf fontId="22" fillId="0" borderId="16" numFmtId="49" xfId="0" applyNumberFormat="1" applyFont="1" applyBorder="1">
      <alignment vertical="top"/>
    </xf>
    <xf fontId="29" fillId="0" borderId="0" numFmtId="0" xfId="0" applyFont="1"/>
    <xf fontId="46" fillId="0" borderId="0" numFmtId="49" xfId="0" applyNumberFormat="1" applyFont="1">
      <alignment vertical="top"/>
    </xf>
    <xf fontId="46" fillId="0" borderId="0" numFmtId="0" xfId="0" applyFont="1">
      <alignment vertical="center" wrapText="1"/>
    </xf>
    <xf fontId="0" fillId="35" borderId="12" numFmtId="49" xfId="0" applyNumberFormat="1" applyFont="1" applyFill="1" applyBorder="1">
      <alignment horizontal="center" vertical="center" wrapText="1"/>
    </xf>
    <xf fontId="31" fillId="0" borderId="0" numFmtId="0" xfId="0" applyFont="1">
      <alignment horizontal="left" vertical="center" wrapText="1"/>
    </xf>
    <xf fontId="22" fillId="0" borderId="12" numFmtId="49" xfId="0" applyNumberFormat="1" applyFont="1" applyBorder="1">
      <alignment horizontal="left" vertical="center" wrapText="1"/>
    </xf>
    <xf fontId="22" fillId="35" borderId="17" numFmtId="0" xfId="0" applyFont="1" applyFill="1" applyBorder="1">
      <alignment horizontal="center" vertical="center"/>
    </xf>
    <xf fontId="22" fillId="0" borderId="12" numFmtId="0" xfId="0" applyFont="1" applyBorder="1">
      <alignment vertical="center" wrapText="1"/>
    </xf>
    <xf fontId="47" fillId="0" borderId="0" numFmtId="0" xfId="0" applyFont="1">
      <alignment vertical="center" wrapText="1"/>
    </xf>
    <xf fontId="47" fillId="0" borderId="0" numFmtId="0" xfId="0" applyFont="1">
      <alignment vertical="center"/>
    </xf>
    <xf fontId="48" fillId="0" borderId="0" numFmtId="0" xfId="0" applyFont="1">
      <alignment vertical="center"/>
    </xf>
    <xf fontId="47" fillId="0" borderId="0" numFmtId="0" xfId="0" applyFont="1">
      <alignment vertical="center"/>
    </xf>
    <xf fontId="47" fillId="0" borderId="0" numFmtId="0" xfId="0" applyFont="1">
      <alignment vertical="center"/>
    </xf>
    <xf fontId="0" fillId="0" borderId="0" numFmtId="0" xfId="0" applyFont="1">
      <alignment vertical="top" wrapText="1"/>
    </xf>
    <xf fontId="22" fillId="0" borderId="12" numFmtId="49" xfId="0" applyNumberFormat="1" applyFont="1" applyBorder="1">
      <alignment horizontal="center" vertical="center" wrapText="1"/>
    </xf>
    <xf fontId="45" fillId="0" borderId="18" numFmtId="0" xfId="0" applyFont="1" applyBorder="1">
      <alignment vertical="top" wrapText="1"/>
    </xf>
    <xf fontId="0" fillId="0" borderId="12" numFmtId="49" xfId="0" applyNumberFormat="1" applyFont="1" applyBorder="1">
      <alignment vertical="top" wrapText="1"/>
    </xf>
    <xf fontId="0" fillId="0" borderId="12" numFmtId="0" xfId="0" applyFont="1" applyBorder="1">
      <alignment vertical="top" wrapText="1"/>
    </xf>
    <xf fontId="1" fillId="0" borderId="0" numFmtId="0" xfId="0" applyFont="1"/>
    <xf fontId="0" fillId="0" borderId="0" numFmtId="0" xfId="0" applyFont="1"/>
    <xf fontId="36" fillId="0" borderId="0" numFmtId="0" xfId="0" applyFont="1">
      <alignment horizontal="center" vertical="center" wrapText="1"/>
    </xf>
    <xf fontId="36" fillId="0" borderId="0" numFmtId="0" xfId="0" applyFont="1">
      <alignment horizontal="center" vertical="center" wrapText="1"/>
    </xf>
    <xf fontId="22" fillId="0" borderId="0" numFmtId="0" xfId="0" applyFont="1">
      <alignment horizontal="right" vertical="center" wrapText="1"/>
    </xf>
    <xf fontId="22" fillId="0" borderId="0" numFmtId="4" xfId="0" applyNumberFormat="1" applyFont="1">
      <alignment horizontal="right" vertical="center" wrapText="1"/>
    </xf>
    <xf fontId="22" fillId="0" borderId="0" numFmtId="0" xfId="0" applyFont="1">
      <alignment horizontal="left" indent="1" vertical="center" wrapText="1"/>
    </xf>
    <xf fontId="22" fillId="0" borderId="0" numFmtId="49" xfId="0" applyNumberFormat="1" applyFont="1">
      <alignment vertical="top"/>
    </xf>
    <xf fontId="22" fillId="0" borderId="0" numFmtId="4" xfId="0" applyNumberFormat="1" applyFont="1">
      <alignment horizontal="center" vertical="center" wrapText="1"/>
    </xf>
    <xf fontId="46" fillId="0" borderId="0" numFmtId="0" xfId="0" applyFont="1">
      <alignment vertical="center"/>
    </xf>
    <xf fontId="22" fillId="0" borderId="12" numFmtId="191" xfId="0" applyNumberFormat="1" applyFont="1" applyBorder="1">
      <alignment horizontal="center" vertical="center" wrapText="1"/>
    </xf>
    <xf fontId="46" fillId="37" borderId="19" numFmtId="49" xfId="0" applyNumberFormat="1" applyFont="1" applyFill="1" applyBorder="1">
      <alignment horizontal="left" vertical="center" wrapText="1"/>
    </xf>
    <xf fontId="0" fillId="37" borderId="15" numFmtId="49" xfId="0" applyNumberFormat="1" applyFont="1" applyFill="1" applyBorder="1">
      <alignment horizontal="left" vertical="center"/>
    </xf>
    <xf fontId="46" fillId="37" borderId="20" numFmtId="49" xfId="0" applyNumberFormat="1" applyFont="1" applyFill="1" applyBorder="1">
      <alignment horizontal="left" vertical="center" wrapText="1"/>
    </xf>
    <xf fontId="35" fillId="0" borderId="0" numFmtId="0" xfId="0" applyFont="1">
      <alignment horizontal="center" vertical="center" wrapText="1"/>
    </xf>
    <xf fontId="49" fillId="37" borderId="15" numFmtId="49" xfId="0" applyNumberFormat="1" applyFont="1" applyFill="1" applyBorder="1">
      <alignment horizontal="right" vertical="center" wrapText="1"/>
    </xf>
    <xf fontId="22" fillId="37" borderId="15" numFmtId="49" xfId="0" applyNumberFormat="1" applyFont="1" applyFill="1" applyBorder="1">
      <alignment horizontal="right" vertical="center" wrapText="1"/>
    </xf>
    <xf fontId="22" fillId="37" borderId="13" numFmtId="49" xfId="0" applyNumberFormat="1" applyFont="1" applyFill="1" applyBorder="1">
      <alignment horizontal="right" vertical="center" wrapText="1"/>
    </xf>
    <xf fontId="22" fillId="0" borderId="21" numFmtId="0" xfId="0" applyFont="1" applyBorder="1">
      <alignment vertical="center" wrapText="1"/>
    </xf>
    <xf fontId="44" fillId="0" borderId="0" numFmtId="0" xfId="0" applyFont="1">
      <alignment vertical="center" wrapText="1"/>
    </xf>
    <xf fontId="50" fillId="0" borderId="0" numFmtId="0" xfId="0" applyFont="1">
      <alignment horizontal="center" vertical="center" wrapText="1"/>
    </xf>
    <xf fontId="0" fillId="35" borderId="0" numFmtId="49" xfId="0" applyNumberFormat="1" applyFont="1" applyFill="1">
      <alignment vertical="top"/>
    </xf>
    <xf fontId="51" fillId="38" borderId="0" numFmtId="49" xfId="0" applyNumberFormat="1" applyFont="1" applyFill="1">
      <alignment vertical="top"/>
    </xf>
    <xf fontId="51" fillId="0" borderId="0" numFmtId="49" xfId="0" applyNumberFormat="1" applyFont="1">
      <alignment vertical="top"/>
    </xf>
    <xf fontId="46" fillId="0" borderId="0" numFmtId="0" xfId="0" applyFont="1">
      <alignment vertical="center"/>
    </xf>
    <xf fontId="0" fillId="37" borderId="15" numFmtId="49" xfId="0" applyNumberFormat="1" applyFont="1" applyFill="1" applyBorder="1">
      <alignment horizontal="right" vertical="center" wrapText="1"/>
    </xf>
    <xf fontId="0" fillId="0" borderId="0" numFmtId="49" xfId="0" applyNumberFormat="1" applyFont="1">
      <alignment vertical="top"/>
    </xf>
    <xf fontId="49" fillId="0" borderId="11" numFmtId="0" xfId="0" applyFont="1" applyBorder="1">
      <alignment vertical="center" wrapText="1"/>
    </xf>
    <xf fontId="45" fillId="0" borderId="0" numFmtId="0" xfId="0" applyFont="1">
      <alignment vertical="top" wrapText="1"/>
    </xf>
    <xf fontId="22" fillId="0" borderId="11" numFmtId="0" xfId="0" applyFont="1" applyBorder="1">
      <alignment vertical="center" wrapText="1"/>
    </xf>
    <xf fontId="22" fillId="0" borderId="0" numFmtId="49" xfId="0" applyNumberFormat="1" applyFont="1">
      <alignment vertical="top"/>
    </xf>
    <xf fontId="22" fillId="35" borderId="0" numFmtId="0" xfId="0" applyFont="1" applyFill="1">
      <alignment horizontal="right" vertical="center"/>
    </xf>
    <xf fontId="0" fillId="0" borderId="12" numFmtId="0" xfId="0" applyFont="1" applyBorder="1">
      <alignment horizontal="left" indent="1" vertical="center" wrapText="1"/>
    </xf>
    <xf fontId="0" fillId="39" borderId="12" numFmtId="0" xfId="0" applyFont="1" applyFill="1" applyBorder="1">
      <alignment horizontal="left" indent="2" vertical="center" wrapText="1"/>
      <protection locked="0"/>
    </xf>
    <xf fontId="47" fillId="0" borderId="0" numFmtId="49" xfId="0" applyNumberFormat="1" applyFont="1">
      <alignment vertical="top"/>
    </xf>
    <xf fontId="0" fillId="0" borderId="12" numFmtId="0" xfId="0" applyFont="1" applyBorder="1">
      <alignment vertical="center" wrapText="1"/>
    </xf>
    <xf fontId="0" fillId="0" borderId="12" numFmtId="0" xfId="0" applyFont="1" applyBorder="1">
      <alignment horizontal="center" vertical="center" wrapText="1"/>
    </xf>
    <xf fontId="0" fillId="39" borderId="12" numFmtId="0" xfId="0" applyFont="1" applyFill="1" applyBorder="1">
      <alignment horizontal="left" indent="1" vertical="center" wrapText="1"/>
      <protection locked="0"/>
    </xf>
    <xf fontId="39" fillId="37" borderId="15" numFmtId="49" xfId="0" applyNumberFormat="1" applyFont="1" applyFill="1" applyBorder="1">
      <alignment horizontal="left" indent="3" vertical="center"/>
    </xf>
    <xf fontId="43" fillId="37" borderId="13" numFmtId="49" xfId="0" applyNumberFormat="1" applyFont="1" applyFill="1" applyBorder="1">
      <alignment horizontal="center" vertical="top"/>
    </xf>
    <xf fontId="45" fillId="0" borderId="0" numFmtId="0" xfId="0" applyFont="1">
      <alignment horizontal="right" vertical="top" wrapText="1"/>
    </xf>
    <xf fontId="39" fillId="37" borderId="15" numFmtId="49" xfId="0" applyNumberFormat="1" applyFont="1" applyFill="1" applyBorder="1">
      <alignment horizontal="left" indent="1" vertical="center"/>
    </xf>
    <xf fontId="39" fillId="37" borderId="15" numFmtId="49" xfId="0" applyNumberFormat="1" applyFont="1" applyFill="1" applyBorder="1">
      <alignment horizontal="left" indent="2" vertical="center"/>
    </xf>
    <xf fontId="0" fillId="0" borderId="12" numFmtId="0" xfId="0" applyFont="1" applyBorder="1">
      <alignment horizontal="left" indent="1" vertical="center" wrapText="1"/>
    </xf>
    <xf fontId="0" fillId="0" borderId="12" numFmtId="0" xfId="0" applyFont="1" applyBorder="1">
      <alignment horizontal="left" indent="2" vertical="center" wrapText="1"/>
    </xf>
    <xf fontId="22" fillId="40" borderId="12" numFmtId="49" xfId="0" applyNumberFormat="1" applyFont="1" applyFill="1" applyBorder="1">
      <alignment horizontal="left" vertical="center" wrapText="1"/>
    </xf>
    <xf fontId="22" fillId="0" borderId="12" numFmtId="0" xfId="0" applyFont="1" applyBorder="1">
      <alignment vertical="top" wrapText="1"/>
    </xf>
    <xf fontId="36" fillId="0" borderId="0" numFmtId="0" xfId="0" applyFont="1">
      <alignment horizontal="center" vertical="center" wrapText="1"/>
    </xf>
    <xf fontId="0" fillId="0" borderId="17" numFmtId="49" xfId="0" applyNumberFormat="1" applyFont="1" applyBorder="1">
      <alignment vertical="top"/>
    </xf>
    <xf fontId="47" fillId="0" borderId="0" numFmtId="0" xfId="0" applyFont="1">
      <alignment vertical="center"/>
    </xf>
    <xf fontId="52" fillId="0" borderId="0" numFmtId="0" xfId="0" applyFont="1">
      <alignment vertical="center"/>
    </xf>
    <xf fontId="53" fillId="39" borderId="12" numFmtId="49" xfId="0" applyNumberFormat="1" applyFont="1" applyFill="1" applyBorder="1">
      <alignment horizontal="left" vertical="center" wrapText="1"/>
      <protection locked="0"/>
    </xf>
    <xf fontId="43" fillId="37" borderId="13" numFmtId="49" xfId="0" applyNumberFormat="1" applyFont="1" applyFill="1" applyBorder="1">
      <alignment horizontal="center" vertical="top"/>
    </xf>
    <xf fontId="0" fillId="34" borderId="12" numFmtId="0" xfId="0" applyFont="1" applyFill="1" applyBorder="1">
      <alignment horizontal="left" indent="1" vertical="center" wrapText="1"/>
    </xf>
    <xf fontId="22" fillId="39" borderId="12" numFmtId="49" xfId="0" applyNumberFormat="1" applyFont="1" applyFill="1" applyBorder="1">
      <alignment horizontal="left" indent="1" vertical="center" wrapText="1"/>
      <protection locked="0"/>
    </xf>
    <xf fontId="22" fillId="34" borderId="12" numFmtId="49" xfId="0" applyNumberFormat="1" applyFont="1" applyFill="1" applyBorder="1">
      <alignment horizontal="left" indent="1" vertical="center" wrapText="1"/>
    </xf>
    <xf fontId="22" fillId="0" borderId="12" numFmtId="49" xfId="0" applyNumberFormat="1" applyFont="1" applyBorder="1">
      <alignment horizontal="left" indent="1" vertical="center" wrapText="1"/>
    </xf>
    <xf fontId="22" fillId="0" borderId="12" numFmtId="0" xfId="0" applyFont="1" applyBorder="1">
      <alignment horizontal="center" vertical="center" wrapText="1"/>
    </xf>
    <xf fontId="45" fillId="0" borderId="0" numFmtId="0" xfId="0" applyFont="1">
      <alignment vertical="center" wrapText="1"/>
    </xf>
    <xf fontId="47" fillId="0" borderId="0" numFmtId="0" xfId="0" applyFont="1">
      <alignment horizontal="center" vertical="center" wrapText="1"/>
    </xf>
    <xf fontId="0" fillId="0" borderId="12" numFmtId="0" xfId="0" applyFont="1" applyBorder="1">
      <alignment horizontal="left" vertical="center" wrapText="1"/>
    </xf>
    <xf fontId="35" fillId="0" borderId="15" numFmtId="49" xfId="0" applyNumberFormat="1" applyFont="1" applyBorder="1">
      <alignment horizontal="center" vertical="center" wrapText="1"/>
    </xf>
    <xf fontId="54" fillId="0" borderId="0" numFmtId="0" xfId="0" applyFont="1">
      <alignment vertical="center"/>
    </xf>
    <xf fontId="55" fillId="0" borderId="0" numFmtId="0" xfId="0" applyFont="1">
      <alignment vertical="center"/>
    </xf>
    <xf fontId="47" fillId="0" borderId="0" numFmtId="0" xfId="0" applyFont="1">
      <alignment vertical="center"/>
    </xf>
    <xf fontId="47" fillId="0" borderId="0" numFmtId="0" xfId="0" applyFont="1">
      <alignment horizontal="left" indent="1" vertical="center" wrapText="1"/>
    </xf>
    <xf fontId="46" fillId="0" borderId="0" numFmtId="0" xfId="0" applyFont="1">
      <alignment horizontal="left" indent="1" vertical="center" wrapText="1"/>
    </xf>
    <xf fontId="56" fillId="0" borderId="0" numFmtId="0" xfId="0" applyFont="1">
      <alignment horizontal="left" indent="1" vertical="center" wrapText="1"/>
    </xf>
    <xf fontId="57" fillId="0" borderId="0" numFmtId="0" xfId="0" applyFont="1">
      <alignment horizontal="left" indent="1" vertical="center"/>
    </xf>
    <xf fontId="56" fillId="0" borderId="0" numFmtId="0" xfId="0" applyFont="1">
      <alignment vertical="center" wrapText="1"/>
    </xf>
    <xf fontId="58" fillId="0" borderId="0" numFmtId="0" xfId="0" applyFont="1">
      <alignment horizontal="left" vertical="center" wrapText="1"/>
    </xf>
    <xf fontId="59" fillId="0" borderId="0" numFmtId="0" xfId="0" applyFont="1">
      <alignment vertical="center" wrapText="1"/>
    </xf>
    <xf fontId="60" fillId="35" borderId="0" numFmtId="0" xfId="0" applyFont="1" applyFill="1">
      <alignment vertical="center" wrapText="1"/>
    </xf>
    <xf fontId="61" fillId="35" borderId="0" numFmtId="0" xfId="0" applyFont="1" applyFill="1">
      <alignment horizontal="right" indent="1" vertical="center" wrapText="1"/>
    </xf>
    <xf fontId="60" fillId="0" borderId="0" numFmtId="0" xfId="0" applyFont="1">
      <alignment vertical="center" wrapText="1"/>
    </xf>
    <xf fontId="60" fillId="35" borderId="0" numFmtId="0" xfId="0" applyFont="1" applyFill="1">
      <alignment horizontal="right" indent="1" vertical="center" wrapText="1"/>
    </xf>
    <xf fontId="62" fillId="35" borderId="0" numFmtId="0" xfId="0" applyFont="1" applyFill="1">
      <alignment horizontal="center" vertical="center" wrapText="1"/>
    </xf>
    <xf fontId="58" fillId="35" borderId="0" numFmtId="0" xfId="0" applyFont="1" applyFill="1">
      <alignment horizontal="center" vertical="center" wrapText="1"/>
    </xf>
    <xf fontId="60" fillId="35" borderId="0" numFmtId="0" xfId="0" applyFont="1" applyFill="1">
      <alignment horizontal="left" indent="1" vertical="center" wrapText="1"/>
    </xf>
    <xf fontId="63" fillId="0" borderId="0" numFmtId="0" xfId="0" applyFont="1">
      <alignment horizontal="left" vertical="center" wrapText="1"/>
    </xf>
    <xf fontId="63" fillId="0" borderId="0" numFmtId="0" xfId="0" applyFont="1">
      <alignment vertical="center" wrapText="1"/>
    </xf>
    <xf fontId="60" fillId="0" borderId="0" numFmtId="0" xfId="0" applyFont="1">
      <alignment vertical="center" wrapText="1"/>
    </xf>
    <xf fontId="60" fillId="0" borderId="0" numFmtId="0" xfId="0" applyFont="1">
      <alignment horizontal="right" vertical="center"/>
    </xf>
    <xf fontId="22" fillId="0" borderId="0" numFmtId="49" xfId="0" applyNumberFormat="1" applyFont="1">
      <alignment vertical="center" wrapText="1"/>
    </xf>
    <xf fontId="0" fillId="0" borderId="0" numFmtId="0" xfId="0" applyFont="1">
      <alignment horizontal="left" indent="1" vertical="center"/>
    </xf>
    <xf fontId="47" fillId="0" borderId="0" numFmtId="0" xfId="0" applyFont="1">
      <alignment horizontal="left" indent="1" vertical="center"/>
    </xf>
    <xf fontId="47" fillId="0" borderId="0" numFmtId="0" xfId="0" applyFont="1">
      <alignment horizontal="left" indent="1" vertical="center"/>
    </xf>
    <xf fontId="47" fillId="0" borderId="22" numFmtId="0" xfId="0" applyFont="1" applyBorder="1">
      <alignment vertical="center"/>
    </xf>
    <xf fontId="22" fillId="0" borderId="12" numFmtId="0" xfId="0" applyFont="1" applyBorder="1">
      <alignment horizontal="center" vertical="center" wrapText="1"/>
    </xf>
    <xf fontId="0" fillId="0" borderId="12" numFmtId="0" xfId="0" applyFont="1" applyBorder="1">
      <alignment horizontal="center" vertical="center"/>
    </xf>
    <xf fontId="0" fillId="0" borderId="12" numFmtId="49" xfId="0" applyNumberFormat="1" applyFont="1" applyBorder="1">
      <alignment horizontal="center" vertical="center"/>
    </xf>
    <xf fontId="0" fillId="0" borderId="12" numFmtId="49" xfId="0" applyNumberFormat="1" applyFont="1" applyBorder="1">
      <alignment horizontal="left" vertical="center"/>
    </xf>
    <xf fontId="22" fillId="0" borderId="0" numFmtId="49" xfId="0" applyNumberFormat="1" applyFont="1">
      <alignment vertical="top"/>
    </xf>
    <xf fontId="22" fillId="0" borderId="0" numFmtId="0" xfId="0" applyFont="1">
      <alignment horizontal="left" indent="2" vertical="center" wrapText="1"/>
    </xf>
    <xf fontId="22" fillId="0" borderId="12" numFmtId="0" xfId="0" applyFont="1" applyBorder="1">
      <alignment vertical="top" wrapText="1"/>
    </xf>
    <xf fontId="0" fillId="39" borderId="12" numFmtId="0" xfId="0" applyFont="1" applyFill="1" applyBorder="1">
      <alignment horizontal="left" vertical="center" wrapText="1"/>
      <protection locked="0"/>
    </xf>
    <xf fontId="22" fillId="0" borderId="12" numFmtId="0" xfId="0" applyFont="1" applyBorder="1">
      <alignment horizontal="left" vertical="top" wrapText="1"/>
    </xf>
    <xf fontId="22" fillId="0" borderId="12" numFmtId="0" xfId="0" applyFont="1" applyBorder="1">
      <alignment horizontal="left" vertical="center" wrapText="1"/>
    </xf>
    <xf fontId="22" fillId="0" borderId="12" numFmtId="0" xfId="0" applyFont="1" applyBorder="1">
      <alignment horizontal="center" vertical="center" wrapText="1"/>
    </xf>
    <xf fontId="22" fillId="0" borderId="17" numFmtId="49" xfId="0" applyNumberFormat="1" applyFont="1" applyBorder="1">
      <alignment horizontal="left" vertical="center" wrapText="1"/>
    </xf>
    <xf fontId="49" fillId="37" borderId="14" numFmtId="49" xfId="0" applyNumberFormat="1" applyFont="1" applyFill="1" applyBorder="1">
      <alignment horizontal="center" vertical="center"/>
    </xf>
    <xf fontId="39" fillId="37" borderId="13" numFmtId="49" xfId="0" applyNumberFormat="1" applyFont="1" applyFill="1" applyBorder="1">
      <alignment horizontal="left" vertical="center"/>
    </xf>
    <xf fontId="22" fillId="0" borderId="0" numFmtId="0" xfId="0" applyFont="1"/>
    <xf fontId="64" fillId="0" borderId="0" numFmtId="0" xfId="0" applyFont="1">
      <alignment vertical="center" wrapText="1"/>
    </xf>
    <xf fontId="64" fillId="0" borderId="0" numFmtId="0" xfId="0" applyFont="1">
      <alignment vertical="center" wrapText="1"/>
    </xf>
    <xf fontId="64" fillId="0" borderId="0" numFmtId="0" xfId="0" applyFont="1"/>
    <xf fontId="65" fillId="0" borderId="0" numFmtId="49" xfId="0" applyNumberFormat="1" applyFont="1">
      <alignment vertical="top"/>
    </xf>
    <xf fontId="66" fillId="0" borderId="0" numFmtId="49" xfId="0" applyNumberFormat="1" applyFont="1">
      <alignment vertical="top"/>
    </xf>
    <xf fontId="22" fillId="0" borderId="0" numFmtId="0" xfId="0" applyFont="1">
      <alignment horizontal="center" vertical="center" wrapText="1"/>
    </xf>
    <xf fontId="22" fillId="39" borderId="12" numFmtId="49" xfId="0" applyNumberFormat="1" applyFont="1" applyFill="1" applyBorder="1">
      <alignment horizontal="left" indent="1" vertical="center" wrapText="1"/>
      <protection locked="0"/>
    </xf>
    <xf fontId="47" fillId="0" borderId="0" numFmtId="0" xfId="0" applyFont="1">
      <alignment vertical="top"/>
    </xf>
    <xf fontId="47" fillId="0" borderId="0" numFmtId="49" xfId="0" applyNumberFormat="1" applyFont="1">
      <alignment vertical="top"/>
    </xf>
    <xf fontId="0" fillId="0" borderId="0" numFmtId="0" xfId="0" applyFont="1">
      <alignment vertical="top"/>
    </xf>
    <xf fontId="22" fillId="0" borderId="12" numFmtId="49" xfId="0" applyNumberFormat="1" applyFont="1" applyBorder="1">
      <alignment horizontal="right" vertical="center"/>
    </xf>
    <xf fontId="67" fillId="0" borderId="0" numFmtId="0" xfId="0" applyFont="1">
      <alignment vertical="center"/>
    </xf>
    <xf fontId="47" fillId="0" borderId="0" numFmtId="0" xfId="0" applyFont="1">
      <alignment vertical="center"/>
    </xf>
    <xf fontId="47" fillId="0" borderId="0" numFmtId="0" xfId="0" applyFont="1">
      <alignment vertical="center" wrapText="1"/>
    </xf>
    <xf fontId="22" fillId="0" borderId="12" numFmtId="0" xfId="0" applyFont="1" applyBorder="1">
      <alignment horizontal="left" vertical="center" wrapText="1"/>
    </xf>
    <xf fontId="68" fillId="0" borderId="0" numFmtId="0" xfId="0" applyFont="1">
      <alignment vertical="center"/>
    </xf>
    <xf fontId="35" fillId="35" borderId="0" numFmtId="49" xfId="0" applyNumberFormat="1" applyFont="1" applyFill="1">
      <alignment horizontal="center" vertical="center" wrapText="1"/>
    </xf>
    <xf fontId="0" fillId="0" borderId="0" numFmtId="0" xfId="0" applyFont="1">
      <alignment vertical="center"/>
    </xf>
    <xf fontId="22" fillId="0" borderId="12" numFmtId="0" xfId="0" applyFont="1" applyBorder="1">
      <alignment horizontal="center" vertical="center" wrapText="1"/>
    </xf>
    <xf fontId="22" fillId="0" borderId="12" numFmtId="49" xfId="0" applyNumberFormat="1" applyFont="1" applyBorder="1">
      <alignment horizontal="center" vertical="center" wrapText="1"/>
    </xf>
    <xf fontId="22" fillId="35" borderId="12" numFmtId="0" xfId="0" applyFont="1" applyFill="1" applyBorder="1">
      <alignment horizontal="left" indent="4" vertical="center" wrapText="1"/>
    </xf>
    <xf fontId="22" fillId="35" borderId="12" numFmtId="0" xfId="0" applyFont="1" applyFill="1" applyBorder="1">
      <alignment horizontal="left" indent="5" vertical="center" wrapText="1"/>
    </xf>
    <xf fontId="39" fillId="37" borderId="15" numFmtId="49" xfId="0" applyNumberFormat="1" applyFont="1" applyFill="1" applyBorder="1">
      <alignment horizontal="left" indent="5" vertical="center"/>
    </xf>
    <xf fontId="39" fillId="37" borderId="15" numFmtId="49" xfId="0" applyNumberFormat="1" applyFont="1" applyFill="1" applyBorder="1">
      <alignment horizontal="left" indent="6" vertical="center"/>
    </xf>
    <xf fontId="22" fillId="0" borderId="12" numFmtId="0" xfId="0" applyFont="1" applyBorder="1">
      <alignment vertical="center" wrapText="1"/>
    </xf>
    <xf fontId="45" fillId="0" borderId="0" numFmtId="0" xfId="0" applyFont="1">
      <alignment vertical="center" wrapText="1"/>
    </xf>
    <xf fontId="69" fillId="35" borderId="0" numFmtId="0" xfId="0" applyFont="1" applyFill="1">
      <alignment vertical="center" wrapText="1"/>
    </xf>
    <xf fontId="22" fillId="0" borderId="12" numFmtId="49" xfId="0" applyNumberFormat="1" applyFont="1" applyBorder="1">
      <alignment horizontal="center" vertical="center" wrapText="1"/>
    </xf>
    <xf fontId="0" fillId="0" borderId="0" numFmtId="49" xfId="0" applyNumberFormat="1" applyFont="1">
      <alignment vertical="top"/>
    </xf>
    <xf fontId="39" fillId="37" borderId="14" numFmtId="49" xfId="0" applyNumberFormat="1" applyFont="1" applyFill="1" applyBorder="1">
      <alignment horizontal="left" indent="1" vertical="center"/>
    </xf>
    <xf fontId="0" fillId="35" borderId="12" numFmtId="0" xfId="0" applyFont="1" applyFill="1" applyBorder="1">
      <alignment horizontal="right" indent="1" vertical="center" wrapText="1"/>
    </xf>
    <xf fontId="0" fillId="0" borderId="12" numFmtId="49" xfId="0" applyNumberFormat="1" applyFont="1" applyBorder="1">
      <alignment horizontal="left" vertical="center"/>
    </xf>
    <xf fontId="22" fillId="0" borderId="12" numFmtId="0" xfId="0" applyFont="1" applyBorder="1">
      <alignment vertical="top" wrapText="1"/>
    </xf>
    <xf fontId="22" fillId="0" borderId="12" numFmtId="0" xfId="0" applyFont="1" applyBorder="1">
      <alignment vertical="center" wrapText="1"/>
    </xf>
    <xf fontId="67" fillId="0" borderId="0" numFmtId="0" xfId="0" applyFont="1">
      <alignment vertical="center"/>
    </xf>
    <xf fontId="22" fillId="0" borderId="12" numFmtId="0" xfId="0" applyFont="1" applyBorder="1">
      <alignment horizontal="left" indent="6" vertical="center" wrapText="1"/>
    </xf>
    <xf fontId="22" fillId="0" borderId="17" numFmtId="0" xfId="0" applyFont="1" applyBorder="1">
      <alignment vertical="center" wrapText="1"/>
    </xf>
    <xf fontId="22" fillId="0" borderId="23" numFmtId="0" xfId="0" applyFont="1" applyBorder="1">
      <alignment vertical="center" wrapText="1"/>
    </xf>
    <xf fontId="0" fillId="37" borderId="13" numFmtId="49" xfId="0" applyNumberFormat="1" applyFont="1" applyFill="1" applyBorder="1">
      <alignment horizontal="center" vertical="center" wrapText="1"/>
    </xf>
    <xf fontId="0" fillId="0" borderId="14" numFmtId="0" xfId="0" applyFont="1" applyBorder="1">
      <alignment vertical="center"/>
    </xf>
    <xf fontId="0" fillId="35" borderId="14" numFmtId="0" xfId="0" applyFont="1" applyFill="1" applyBorder="1">
      <alignment horizontal="right" indent="1" vertical="center" wrapText="1"/>
    </xf>
    <xf fontId="31" fillId="0" borderId="0" numFmtId="49" xfId="0" applyNumberFormat="1" applyFont="1">
      <alignment vertical="top"/>
    </xf>
    <xf fontId="38" fillId="35" borderId="0" numFmtId="0" xfId="0" applyFont="1" applyFill="1">
      <alignment vertical="center" wrapText="1"/>
    </xf>
    <xf fontId="22" fillId="35" borderId="12" numFmtId="0" xfId="0" applyFont="1" applyFill="1" applyBorder="1">
      <alignment horizontal="left" indent="1" vertical="center" wrapText="1"/>
    </xf>
    <xf fontId="22" fillId="35" borderId="12" numFmtId="0" xfId="0" applyFont="1" applyFill="1" applyBorder="1">
      <alignment horizontal="left" indent="2" vertical="center" wrapText="1"/>
    </xf>
    <xf fontId="22" fillId="35" borderId="12" numFmtId="0" xfId="0" applyFont="1" applyFill="1" applyBorder="1">
      <alignment horizontal="left" indent="3" vertical="center" wrapText="1"/>
    </xf>
    <xf fontId="22" fillId="0" borderId="12" numFmtId="0" xfId="0" applyFont="1" applyBorder="1">
      <alignment horizontal="left" indent="4" vertical="center" wrapText="1"/>
    </xf>
    <xf fontId="39" fillId="37" borderId="14" numFmtId="49" xfId="0" applyNumberFormat="1" applyFont="1" applyFill="1" applyBorder="1">
      <alignment vertical="center" wrapText="1"/>
    </xf>
    <xf fontId="39" fillId="37" borderId="15" numFmtId="49" xfId="0" applyNumberFormat="1" applyFont="1" applyFill="1" applyBorder="1">
      <alignment vertical="center"/>
    </xf>
    <xf fontId="39" fillId="37" borderId="15" numFmtId="49" xfId="0" applyNumberFormat="1" applyFont="1" applyFill="1" applyBorder="1">
      <alignment vertical="center" wrapText="1"/>
    </xf>
    <xf fontId="22" fillId="0" borderId="0" numFmtId="0" xfId="0" applyFont="1">
      <alignment vertical="top" wrapText="1"/>
    </xf>
    <xf fontId="39" fillId="37" borderId="14" numFmtId="49" xfId="0" applyNumberFormat="1" applyFont="1" applyFill="1" applyBorder="1">
      <alignment horizontal="left" vertical="center"/>
    </xf>
    <xf fontId="39" fillId="37" borderId="14" numFmtId="0" xfId="0" applyFont="1" applyFill="1" applyBorder="1">
      <alignment horizontal="left" vertical="center"/>
    </xf>
    <xf fontId="39" fillId="37" borderId="15" numFmtId="0" xfId="0" applyFont="1" applyFill="1" applyBorder="1">
      <alignment horizontal="left" vertical="center"/>
    </xf>
    <xf fontId="39" fillId="37" borderId="13" numFmtId="0" xfId="0" applyFont="1" applyFill="1" applyBorder="1">
      <alignment horizontal="left" vertical="center"/>
    </xf>
    <xf fontId="0" fillId="0" borderId="0" numFmtId="0" xfId="0" applyFont="1">
      <alignment vertical="center"/>
    </xf>
    <xf fontId="0" fillId="0" borderId="0" numFmtId="49" xfId="0" applyNumberFormat="1" applyFont="1">
      <alignment vertical="center"/>
    </xf>
    <xf fontId="49" fillId="35" borderId="0" numFmtId="0" xfId="0" applyFont="1" applyFill="1">
      <alignment horizontal="center" vertical="center" wrapText="1"/>
    </xf>
    <xf fontId="22" fillId="0" borderId="0" numFmtId="0" xfId="0" applyFont="1">
      <alignment vertical="center" wrapText="1"/>
    </xf>
    <xf fontId="22" fillId="37" borderId="13" numFmtId="49" xfId="0" applyNumberFormat="1" applyFont="1" applyFill="1" applyBorder="1">
      <alignment horizontal="center" vertical="center" wrapText="1"/>
    </xf>
    <xf fontId="22" fillId="0" borderId="12" numFmtId="4" xfId="0" applyNumberFormat="1" applyFont="1" applyBorder="1">
      <alignment horizontal="right" vertical="center" wrapText="1"/>
    </xf>
    <xf fontId="22" fillId="0" borderId="0" numFmtId="0" xfId="0" applyFont="1">
      <alignment vertical="center" wrapText="1"/>
    </xf>
    <xf fontId="22" fillId="0" borderId="0" numFmtId="0" xfId="0" applyFont="1">
      <alignment vertical="center" wrapText="1"/>
    </xf>
    <xf fontId="47" fillId="0" borderId="12" numFmtId="4" xfId="0" applyNumberFormat="1" applyFont="1" applyBorder="1">
      <alignment horizontal="center" vertical="center" wrapText="1"/>
    </xf>
    <xf fontId="0" fillId="0" borderId="0" numFmtId="0" xfId="0" applyFont="1">
      <alignment vertical="center"/>
    </xf>
    <xf fontId="0" fillId="0" borderId="12" numFmtId="0" xfId="0" applyFont="1" applyBorder="1">
      <alignment horizontal="left" indent="1" vertical="center" wrapText="1"/>
    </xf>
    <xf fontId="70" fillId="0" borderId="14" numFmtId="49" xfId="0" applyNumberFormat="1" applyFont="1" applyBorder="1">
      <alignment horizontal="left" vertical="center" wrapText="1"/>
    </xf>
    <xf fontId="67" fillId="0" borderId="12" numFmtId="0" xfId="0" applyFont="1" applyBorder="1">
      <alignment horizontal="left" indent="2" vertical="center" wrapText="1"/>
    </xf>
    <xf fontId="67" fillId="0" borderId="12" numFmtId="49" xfId="0" applyNumberFormat="1" applyFont="1" applyBorder="1">
      <alignment horizontal="center" vertical="center" wrapText="1"/>
    </xf>
    <xf fontId="71" fillId="0" borderId="0" numFmtId="0" xfId="0" applyFont="1">
      <alignment vertical="center" wrapText="1"/>
    </xf>
    <xf fontId="22" fillId="0" borderId="0" numFmtId="0" xfId="0" applyFont="1">
      <alignment vertical="top"/>
    </xf>
    <xf fontId="22" fillId="0" borderId="0" numFmtId="0" xfId="0" applyFont="1">
      <alignment horizontal="right" vertical="top" wrapText="1"/>
    </xf>
    <xf fontId="22" fillId="0" borderId="17" numFmtId="0" xfId="0" applyFont="1" applyBorder="1">
      <alignment vertical="center" wrapText="1"/>
    </xf>
    <xf fontId="43" fillId="37" borderId="15" numFmtId="49" xfId="0" applyNumberFormat="1" applyFont="1" applyFill="1" applyBorder="1">
      <alignment horizontal="center" vertical="top"/>
    </xf>
    <xf fontId="22" fillId="0" borderId="23" numFmtId="0" xfId="0" applyFont="1" applyBorder="1">
      <alignment vertical="top" wrapText="1"/>
    </xf>
    <xf fontId="0" fillId="0" borderId="0" numFmtId="0" xfId="0" applyFont="1">
      <alignment horizontal="left" vertical="top" wrapText="1"/>
    </xf>
    <xf fontId="22" fillId="0" borderId="17" numFmtId="0" xfId="0" applyFont="1" applyBorder="1">
      <alignment vertical="top" wrapText="1"/>
    </xf>
    <xf fontId="22" fillId="0" borderId="0" numFmtId="0" xfId="0" applyFont="1">
      <alignment vertical="center" wrapText="1"/>
    </xf>
    <xf fontId="22" fillId="0" borderId="0" numFmtId="49" xfId="0" applyNumberFormat="1" applyFont="1">
      <alignment vertical="top"/>
    </xf>
    <xf fontId="38" fillId="0" borderId="0" numFmtId="0" xfId="0" applyFont="1">
      <alignment vertical="center" wrapText="1"/>
    </xf>
    <xf fontId="22" fillId="0" borderId="12" numFmtId="0" xfId="0" applyFont="1" applyBorder="1">
      <alignment vertical="center" wrapText="1"/>
    </xf>
    <xf fontId="22" fillId="0" borderId="0" numFmtId="49" xfId="0" applyNumberFormat="1" applyFont="1">
      <alignment horizontal="center" vertical="center" wrapText="1"/>
    </xf>
    <xf fontId="22" fillId="37" borderId="14" numFmtId="0" xfId="0" applyFont="1" applyFill="1" applyBorder="1">
      <alignment vertical="center" wrapText="1"/>
    </xf>
    <xf fontId="22" fillId="39" borderId="12" numFmtId="0" xfId="0" applyFont="1" applyFill="1" applyBorder="1">
      <alignment horizontal="left" indent="1" vertical="center" wrapText="1"/>
      <protection locked="0"/>
    </xf>
    <xf fontId="39" fillId="37" borderId="15" numFmtId="49" xfId="0" applyNumberFormat="1" applyFont="1" applyFill="1" applyBorder="1">
      <alignment horizontal="left" indent="2" vertical="center"/>
    </xf>
    <xf fontId="47" fillId="0" borderId="0" numFmtId="0" xfId="0" applyFont="1">
      <alignment vertical="center"/>
    </xf>
    <xf fontId="72" fillId="0" borderId="0" numFmtId="0" xfId="0" applyFont="1">
      <alignment vertical="center" wrapText="1"/>
    </xf>
    <xf fontId="41" fillId="35" borderId="0" numFmtId="0" xfId="0" applyFont="1" applyFill="1">
      <alignment horizontal="center" vertical="center" wrapText="1"/>
    </xf>
    <xf fontId="22" fillId="0" borderId="24" numFmtId="0" xfId="0" applyFont="1" applyBorder="1">
      <alignment vertical="center" wrapText="1"/>
    </xf>
    <xf fontId="36" fillId="0" borderId="0" numFmtId="0" xfId="0" applyFont="1">
      <alignment vertical="center" wrapText="1"/>
    </xf>
    <xf fontId="22" fillId="0" borderId="24" numFmtId="49" xfId="0" applyNumberFormat="1" applyFont="1" applyBorder="1">
      <alignment vertical="top"/>
    </xf>
    <xf fontId="47" fillId="0" borderId="24" numFmtId="0" xfId="0" applyFont="1" applyBorder="1">
      <alignment horizontal="center" vertical="center" wrapText="1"/>
    </xf>
    <xf fontId="47" fillId="0" borderId="24" numFmtId="0" xfId="0" applyFont="1" applyBorder="1">
      <alignment vertical="center" wrapText="1"/>
    </xf>
    <xf fontId="31" fillId="0" borderId="0" numFmtId="49" xfId="0" applyNumberFormat="1" applyFont="1">
      <alignment vertical="top"/>
    </xf>
    <xf fontId="0" fillId="0" borderId="24" numFmtId="49" xfId="0" applyNumberFormat="1" applyFont="1" applyBorder="1">
      <alignment vertical="top"/>
    </xf>
    <xf fontId="22" fillId="0" borderId="0" numFmtId="49" xfId="0" applyNumberFormat="1" applyFont="1">
      <alignment vertical="top"/>
    </xf>
    <xf fontId="22" fillId="0" borderId="0" numFmtId="49" xfId="0" applyNumberFormat="1" applyFont="1">
      <alignment vertical="center" wrapText="1"/>
    </xf>
    <xf fontId="31" fillId="0" borderId="0" numFmtId="0" xfId="0" applyFont="1">
      <alignment vertical="center" wrapText="1"/>
    </xf>
    <xf fontId="22" fillId="35" borderId="0" numFmtId="0" xfId="0" applyFont="1" applyFill="1">
      <alignment vertical="center" wrapText="1"/>
    </xf>
    <xf fontId="22" fillId="0" borderId="0" numFmtId="49" xfId="0" applyNumberFormat="1" applyFont="1">
      <alignment vertical="center" wrapText="1"/>
    </xf>
    <xf fontId="39" fillId="37" borderId="15" numFmtId="49" xfId="0" applyNumberFormat="1" applyFont="1" applyFill="1" applyBorder="1">
      <alignment horizontal="left" indent="4" vertical="center"/>
    </xf>
    <xf fontId="0" fillId="37" borderId="15" numFmtId="49" xfId="0" applyNumberFormat="1" applyFont="1" applyFill="1" applyBorder="1">
      <alignment horizontal="center" vertical="center" wrapText="1"/>
    </xf>
    <xf fontId="22" fillId="37" borderId="15" numFmtId="49" xfId="0" applyNumberFormat="1" applyFont="1" applyFill="1" applyBorder="1">
      <alignment horizontal="center" vertical="center" wrapText="1"/>
    </xf>
    <xf fontId="47" fillId="0" borderId="0" numFmtId="0" xfId="0" applyFont="1">
      <alignment vertical="center"/>
    </xf>
    <xf fontId="22" fillId="0" borderId="0" numFmtId="0" xfId="0" applyFont="1">
      <alignment vertical="top" wrapText="1"/>
    </xf>
    <xf fontId="22" fillId="0" borderId="12" numFmtId="49" xfId="0" applyNumberFormat="1" applyFont="1" applyBorder="1">
      <alignment horizontal="right" vertical="top"/>
    </xf>
    <xf fontId="22" fillId="0" borderId="17" numFmtId="49" xfId="0" applyNumberFormat="1" applyFont="1" applyBorder="1">
      <alignment horizontal="right" vertical="top"/>
    </xf>
    <xf fontId="39" fillId="37" borderId="15" numFmtId="49" xfId="0" applyNumberFormat="1" applyFont="1" applyFill="1" applyBorder="1">
      <alignment horizontal="left" indent="3" vertical="center"/>
    </xf>
    <xf fontId="0" fillId="0" borderId="0" numFmtId="49" xfId="0" applyNumberFormat="1" applyFont="1">
      <alignment vertical="top"/>
    </xf>
    <xf fontId="22" fillId="0" borderId="0" numFmtId="0" xfId="0" applyFont="1">
      <alignment vertical="center" wrapText="1"/>
    </xf>
    <xf fontId="38" fillId="0" borderId="0" numFmtId="49" xfId="0" applyNumberFormat="1" applyFont="1">
      <alignment vertical="top"/>
    </xf>
    <xf fontId="38" fillId="35" borderId="0" numFmtId="0" xfId="0" applyFont="1" applyFill="1">
      <alignment vertical="center" wrapText="1"/>
    </xf>
    <xf fontId="22" fillId="39" borderId="12" numFmtId="49" xfId="0" applyNumberFormat="1" applyFont="1" applyFill="1" applyBorder="1">
      <alignment horizontal="left" vertical="center" wrapText="1"/>
      <protection locked="0"/>
    </xf>
    <xf fontId="22" fillId="36" borderId="12" numFmtId="49" xfId="0" applyNumberFormat="1" applyFont="1" applyFill="1" applyBorder="1">
      <alignment horizontal="left" vertical="center" wrapText="1"/>
      <protection locked="0"/>
    </xf>
    <xf fontId="47" fillId="0" borderId="0" numFmtId="49" xfId="0" applyNumberFormat="1" applyFont="1">
      <alignment vertical="top"/>
    </xf>
    <xf fontId="47" fillId="0" borderId="0" numFmtId="49" xfId="0" applyNumberFormat="1" applyFont="1">
      <alignment vertical="top"/>
    </xf>
    <xf fontId="22" fillId="39" borderId="12" numFmtId="49" xfId="0" applyNumberFormat="1" applyFont="1" applyFill="1" applyBorder="1">
      <alignment horizontal="left" vertical="center" wrapText="1"/>
      <protection locked="0"/>
    </xf>
    <xf fontId="53" fillId="39" borderId="12" numFmtId="49" xfId="0" applyNumberFormat="1" applyFont="1" applyFill="1" applyBorder="1">
      <alignment horizontal="left" vertical="center" wrapText="1"/>
      <protection locked="0"/>
    </xf>
    <xf fontId="0" fillId="0" borderId="25" numFmtId="49" xfId="0" applyNumberFormat="1" applyFont="1" applyBorder="1">
      <alignment horizontal="center" vertical="center"/>
    </xf>
    <xf fontId="22" fillId="0" borderId="12" numFmtId="188" xfId="0" applyNumberFormat="1" applyFont="1" applyBorder="1">
      <alignment horizontal="right" vertical="center" wrapText="1"/>
    </xf>
    <xf fontId="53" fillId="39" borderId="14" numFmtId="49" xfId="0" applyNumberFormat="1" applyFont="1" applyFill="1" applyBorder="1">
      <alignment horizontal="left" vertical="center" wrapText="1"/>
      <protection locked="0"/>
    </xf>
    <xf fontId="22" fillId="35" borderId="12" numFmtId="0" xfId="0" applyFont="1" applyFill="1" applyBorder="1">
      <alignment horizontal="center" vertical="center" wrapText="1"/>
    </xf>
    <xf fontId="36" fillId="35" borderId="0" numFmtId="0" xfId="0" applyFont="1" applyFill="1">
      <alignment horizontal="center" vertical="center" wrapText="1"/>
    </xf>
    <xf fontId="0" fillId="0" borderId="12" numFmtId="0" xfId="0" applyFont="1" applyBorder="1">
      <alignment horizontal="left" vertical="center" wrapText="1"/>
    </xf>
    <xf fontId="22" fillId="35" borderId="0" numFmtId="0" xfId="0" applyFont="1" applyFill="1">
      <alignment horizontal="center" vertical="center" wrapText="1"/>
    </xf>
    <xf fontId="49" fillId="0" borderId="0" numFmtId="0" xfId="0" applyFont="1">
      <alignment vertical="top" wrapText="1"/>
    </xf>
    <xf fontId="22" fillId="35" borderId="26" numFmtId="0" xfId="0" applyFont="1" applyFill="1" applyBorder="1">
      <alignment horizontal="right" indent="1" vertical="center" wrapText="1"/>
    </xf>
    <xf fontId="0" fillId="35" borderId="26" numFmtId="0" xfId="0" applyFont="1" applyFill="1" applyBorder="1">
      <alignment horizontal="right" indent="1" vertical="center" wrapText="1"/>
    </xf>
    <xf fontId="22" fillId="0" borderId="0" numFmtId="0" xfId="0" applyFont="1">
      <alignment horizontal="left" indent="4" vertical="center" wrapText="1"/>
    </xf>
    <xf fontId="22" fillId="35" borderId="0" numFmtId="0" xfId="0" applyFont="1" applyFill="1">
      <alignment horizontal="center" vertical="center" wrapText="1"/>
    </xf>
    <xf fontId="39" fillId="37" borderId="15" numFmtId="49" xfId="0" applyNumberFormat="1" applyFont="1" applyFill="1" applyBorder="1">
      <alignment horizontal="left" vertical="center"/>
    </xf>
    <xf fontId="22" fillId="0" borderId="19" numFmtId="0" xfId="0" applyFont="1" applyBorder="1">
      <alignment vertical="center" wrapText="1"/>
    </xf>
    <xf fontId="22" fillId="0" borderId="0" numFmtId="0" xfId="0" applyFont="1">
      <alignment horizontal="left" indent="1" vertical="center" wrapText="1"/>
    </xf>
    <xf fontId="71" fillId="0" borderId="0" numFmtId="0" xfId="0" applyFont="1">
      <alignment vertical="center" wrapText="1"/>
    </xf>
    <xf fontId="0" fillId="35" borderId="14" numFmtId="49" xfId="0" applyNumberFormat="1" applyFont="1" applyFill="1" applyBorder="1">
      <alignment horizontal="center" vertical="center" wrapText="1"/>
    </xf>
    <xf fontId="39" fillId="37" borderId="27" numFmtId="49" xfId="0" applyNumberFormat="1" applyFont="1" applyFill="1" applyBorder="1">
      <alignment horizontal="left" indent="2" vertical="center"/>
    </xf>
    <xf fontId="53" fillId="36" borderId="12" numFmtId="49" xfId="0" applyNumberFormat="1" applyFont="1" applyFill="1" applyBorder="1">
      <alignment horizontal="left" vertical="center" wrapText="1"/>
      <protection locked="0"/>
    </xf>
    <xf fontId="22" fillId="0" borderId="19" numFmtId="49" xfId="0" applyNumberFormat="1" applyFont="1" applyBorder="1">
      <alignment vertical="top"/>
    </xf>
    <xf fontId="73" fillId="37" borderId="13" numFmtId="49" xfId="0" applyNumberFormat="1" applyFont="1" applyFill="1" applyBorder="1">
      <alignment horizontal="left" indent="1" vertical="center"/>
    </xf>
    <xf fontId="73" fillId="37" borderId="15" numFmtId="49" xfId="0" applyNumberFormat="1" applyFont="1" applyFill="1" applyBorder="1">
      <alignment horizontal="left" indent="1" vertical="center"/>
    </xf>
    <xf fontId="49" fillId="37" borderId="14" numFmtId="49" xfId="0" applyNumberFormat="1" applyFont="1" applyFill="1" applyBorder="1">
      <alignment horizontal="center" vertical="center"/>
    </xf>
    <xf fontId="73" fillId="37" borderId="15" numFmtId="49" xfId="0" applyNumberFormat="1" applyFont="1" applyFill="1" applyBorder="1">
      <alignment vertical="center"/>
    </xf>
    <xf fontId="0" fillId="41" borderId="12" numFmtId="0" xfId="0" applyFont="1" applyFill="1" applyBorder="1">
      <alignment horizontal="right" vertical="center"/>
    </xf>
    <xf fontId="32" fillId="0" borderId="0" numFmtId="0" xfId="0" applyFont="1">
      <alignment vertical="center" wrapText="1"/>
    </xf>
    <xf fontId="22" fillId="0" borderId="0" numFmtId="0" xfId="0" applyFont="1">
      <alignment vertical="center" wrapText="1"/>
    </xf>
    <xf fontId="33" fillId="35" borderId="0" numFmtId="0" xfId="0" applyFont="1" applyFill="1">
      <alignment vertical="center" wrapText="1"/>
    </xf>
    <xf fontId="31" fillId="0" borderId="0" numFmtId="0" xfId="0" applyFont="1">
      <alignment horizontal="center" vertical="center" wrapText="1"/>
    </xf>
    <xf fontId="0" fillId="0" borderId="0" numFmtId="0" xfId="0" applyFont="1">
      <alignment vertical="center" wrapText="1"/>
    </xf>
    <xf fontId="31" fillId="0" borderId="0" numFmtId="0" xfId="0" applyFont="1">
      <alignment horizontal="left" vertical="center" wrapText="1"/>
    </xf>
    <xf fontId="0" fillId="0" borderId="12" numFmtId="0" xfId="0" applyFont="1" applyBorder="1">
      <alignment horizontal="center" vertical="center" wrapText="1"/>
    </xf>
    <xf fontId="39" fillId="37" borderId="15" numFmtId="49" xfId="0" applyNumberFormat="1" applyFont="1" applyFill="1" applyBorder="1">
      <alignment horizontal="left" indent="1" vertical="center"/>
    </xf>
    <xf fontId="39" fillId="37" borderId="15" numFmtId="49" xfId="0" applyNumberFormat="1" applyFont="1" applyFill="1" applyBorder="1">
      <alignment horizontal="left" vertical="center"/>
    </xf>
    <xf fontId="46" fillId="0" borderId="0" numFmtId="0" xfId="0" applyFont="1">
      <alignment vertical="center" wrapText="1"/>
    </xf>
    <xf fontId="0" fillId="0" borderId="0" numFmtId="0" xfId="0" applyFont="1">
      <alignment vertical="center"/>
    </xf>
    <xf fontId="47" fillId="0" borderId="0" numFmtId="49" xfId="0" applyNumberFormat="1" applyFont="1">
      <alignment vertical="top"/>
    </xf>
    <xf fontId="74" fillId="0" borderId="0" numFmtId="0" xfId="0" applyFont="1">
      <alignment vertical="center" wrapText="1"/>
    </xf>
    <xf fontId="49" fillId="37" borderId="14" numFmtId="49" xfId="0" applyNumberFormat="1" applyFont="1" applyFill="1" applyBorder="1">
      <alignment horizontal="right" vertical="center" wrapText="1"/>
    </xf>
    <xf fontId="46" fillId="0" borderId="0" numFmtId="49" xfId="0" applyNumberFormat="1" applyFont="1">
      <alignment vertical="top"/>
    </xf>
    <xf fontId="0" fillId="0" borderId="0" numFmtId="49" xfId="0" applyNumberFormat="1" applyFont="1">
      <alignment vertical="top"/>
    </xf>
    <xf fontId="0" fillId="37" borderId="13" numFmtId="49" xfId="0" applyNumberFormat="1" applyFont="1" applyFill="1" applyBorder="1">
      <alignment horizontal="right" vertical="center" wrapText="1"/>
    </xf>
    <xf fontId="0" fillId="0" borderId="12" numFmtId="0" xfId="0" applyFont="1" applyBorder="1">
      <alignment horizontal="center" vertical="center" wrapText="1"/>
    </xf>
    <xf fontId="58" fillId="0" borderId="0" numFmtId="0" xfId="0" applyFont="1">
      <alignment horizontal="left" vertical="center" wrapText="1"/>
    </xf>
    <xf fontId="59" fillId="0" borderId="0" numFmtId="0" xfId="0" applyFont="1">
      <alignment vertical="center" wrapText="1"/>
    </xf>
    <xf fontId="60" fillId="35" borderId="0" numFmtId="0" xfId="0" applyFont="1" applyFill="1">
      <alignment vertical="center" wrapText="1"/>
    </xf>
    <xf fontId="61" fillId="35" borderId="0" numFmtId="0" xfId="0" applyFont="1" applyFill="1">
      <alignment horizontal="right" indent="1" vertical="center" wrapText="1"/>
    </xf>
    <xf fontId="60" fillId="0" borderId="0" numFmtId="0" xfId="0" applyFont="1">
      <alignment vertical="center" wrapText="1"/>
    </xf>
    <xf fontId="0" fillId="0" borderId="14" numFmtId="0" xfId="0" applyFont="1" applyBorder="1">
      <alignment horizontal="center" vertical="center" wrapText="1"/>
    </xf>
    <xf fontId="0" fillId="36" borderId="12" numFmtId="0" xfId="0" applyFont="1" applyFill="1" applyBorder="1">
      <alignment horizontal="right" vertical="center" wrapText="1"/>
      <protection locked="0"/>
    </xf>
    <xf fontId="0" fillId="39" borderId="12" numFmtId="3" xfId="0" applyNumberFormat="1" applyFont="1" applyFill="1" applyBorder="1">
      <alignment horizontal="right" vertical="center" wrapText="1"/>
      <protection locked="0"/>
    </xf>
    <xf fontId="0" fillId="0" borderId="12" numFmtId="49" xfId="0" applyNumberFormat="1" applyFont="1" applyBorder="1">
      <alignment horizontal="center" vertical="center" wrapText="1"/>
    </xf>
    <xf fontId="0" fillId="0" borderId="12" numFmtId="49" xfId="0" applyNumberFormat="1" applyFont="1" applyBorder="1">
      <alignment vertical="top" wrapText="1"/>
    </xf>
    <xf fontId="0" fillId="35" borderId="14" numFmtId="0" xfId="0" applyFont="1" applyFill="1" applyBorder="1">
      <alignment horizontal="left" indent="1" vertical="center" wrapText="1"/>
    </xf>
    <xf fontId="0" fillId="35" borderId="17" numFmtId="0" xfId="0" applyFont="1" applyFill="1" applyBorder="1">
      <alignment horizontal="left" vertical="center" wrapText="1"/>
    </xf>
    <xf fontId="0" fillId="35" borderId="12" numFmtId="0" xfId="0" applyFont="1" applyFill="1" applyBorder="1">
      <alignment horizontal="left" vertical="center" wrapText="1"/>
    </xf>
    <xf fontId="0" fillId="35" borderId="12" numFmtId="0" xfId="0" applyFont="1" applyFill="1" applyBorder="1">
      <alignment horizontal="left" indent="2" vertical="center" wrapText="1"/>
    </xf>
    <xf fontId="0" fillId="35" borderId="12" numFmtId="0" xfId="0" applyFont="1" applyFill="1" applyBorder="1">
      <alignment horizontal="center" vertical="center"/>
    </xf>
    <xf fontId="0" fillId="39" borderId="12" numFmtId="49" xfId="0" applyNumberFormat="1" applyFont="1" applyFill="1" applyBorder="1">
      <alignment horizontal="left" vertical="center" wrapText="1"/>
      <protection locked="0"/>
    </xf>
    <xf fontId="0" fillId="35" borderId="12" numFmtId="0" xfId="0" applyFont="1" applyFill="1" applyBorder="1">
      <alignment horizontal="left" indent="1" vertical="center" wrapText="1"/>
    </xf>
    <xf fontId="0" fillId="0" borderId="12" numFmtId="0" xfId="0" applyFont="1" applyBorder="1">
      <alignment horizontal="center" vertical="center" wrapText="1"/>
    </xf>
    <xf fontId="0" fillId="35" borderId="12" numFmtId="0" xfId="0" applyFont="1" applyFill="1" applyBorder="1">
      <alignment vertical="center" wrapText="1"/>
    </xf>
    <xf fontId="0" fillId="35" borderId="12" numFmtId="49" xfId="0" applyNumberFormat="1" applyFont="1" applyFill="1" applyBorder="1">
      <alignment horizontal="center" vertical="center"/>
    </xf>
    <xf fontId="0" fillId="35" borderId="12" numFmtId="0" xfId="0" applyFont="1" applyFill="1" applyBorder="1">
      <alignment horizontal="center" vertical="center" wrapText="1"/>
    </xf>
    <xf fontId="22" fillId="0" borderId="0" numFmtId="0" xfId="0" applyFont="1">
      <alignment vertical="center" wrapText="1"/>
    </xf>
    <xf fontId="35" fillId="35" borderId="0" numFmtId="49" xfId="0" applyNumberFormat="1" applyFont="1" applyFill="1">
      <alignment horizontal="center" vertical="center" wrapText="1"/>
    </xf>
    <xf fontId="31" fillId="0" borderId="0" numFmtId="0" xfId="0" applyFont="1">
      <alignment vertical="center" wrapText="1"/>
    </xf>
    <xf fontId="36" fillId="35" borderId="0" numFmtId="0" xfId="0" applyFont="1" applyFill="1">
      <alignment horizontal="center" vertical="center" wrapText="1"/>
    </xf>
    <xf fontId="36" fillId="0" borderId="0" numFmtId="0" xfId="0" applyFont="1">
      <alignment horizontal="center" vertical="center" wrapText="1"/>
    </xf>
    <xf fontId="41" fillId="0" borderId="0" numFmtId="0" xfId="0" applyFont="1">
      <alignment vertical="center" wrapText="1"/>
    </xf>
    <xf fontId="45" fillId="0" borderId="0" numFmtId="0" xfId="0" applyFont="1">
      <alignment horizontal="center" vertical="center" wrapText="1"/>
    </xf>
    <xf fontId="44" fillId="0" borderId="0" numFmtId="0" xfId="0" applyFont="1">
      <alignment vertical="center" wrapText="1"/>
    </xf>
    <xf fontId="0" fillId="35" borderId="0" numFmtId="0" xfId="0" applyFont="1" applyFill="1"/>
    <xf fontId="0" fillId="35" borderId="0" numFmtId="0" xfId="0" applyFont="1" applyFill="1">
      <alignment horizontal="center"/>
    </xf>
    <xf fontId="22" fillId="35" borderId="0" numFmtId="0" xfId="0" applyFont="1" applyFill="1">
      <alignment vertical="center" wrapText="1"/>
    </xf>
    <xf fontId="75" fillId="35" borderId="0" numFmtId="0" xfId="0" applyFont="1" applyFill="1">
      <alignment horizontal="center"/>
    </xf>
    <xf fontId="75" fillId="35" borderId="0" numFmtId="0" xfId="0" applyFont="1" applyFill="1"/>
    <xf fontId="76" fillId="35" borderId="0" numFmtId="0" xfId="0" applyFont="1" applyFill="1"/>
    <xf fontId="77" fillId="35" borderId="0" numFmtId="0" xfId="0" applyFont="1" applyFill="1">
      <alignment horizontal="right" vertical="center"/>
    </xf>
    <xf fontId="77" fillId="35" borderId="0" numFmtId="0" xfId="0" applyFont="1" applyFill="1">
      <alignment horizontal="right" vertical="top"/>
    </xf>
    <xf fontId="22" fillId="35" borderId="0" numFmtId="0" xfId="0" applyFont="1" applyFill="1">
      <alignment horizontal="center" vertical="center" wrapText="1"/>
    </xf>
    <xf fontId="35" fillId="35" borderId="0" numFmtId="0" xfId="0" applyFont="1" applyFill="1">
      <alignment horizontal="center" vertical="center"/>
    </xf>
    <xf fontId="22" fillId="0" borderId="12" numFmtId="0" xfId="0" applyFont="1" applyBorder="1">
      <alignment horizontal="center" vertical="center" wrapText="1"/>
    </xf>
    <xf fontId="44" fillId="0" borderId="0" numFmtId="0" xfId="0" applyFont="1">
      <alignment vertical="top" wrapText="1"/>
    </xf>
    <xf fontId="22" fillId="37" borderId="14" numFmtId="0" xfId="0" applyFont="1" applyFill="1" applyBorder="1">
      <alignment horizontal="center"/>
    </xf>
    <xf fontId="73" fillId="37" borderId="15" numFmtId="0" xfId="0" applyFont="1" applyFill="1" applyBorder="1">
      <alignment horizontal="left" vertical="center"/>
    </xf>
    <xf fontId="73" fillId="37" borderId="13" numFmtId="0" xfId="0" applyFont="1" applyFill="1" applyBorder="1">
      <alignment horizontal="left" vertical="center"/>
    </xf>
    <xf fontId="78" fillId="35" borderId="0" numFmtId="0" xfId="0" applyFont="1" applyFill="1">
      <alignment vertical="center"/>
    </xf>
    <xf fontId="78" fillId="35" borderId="0" numFmtId="0" xfId="0" applyFont="1" applyFill="1">
      <alignment vertical="center" wrapText="1"/>
    </xf>
    <xf fontId="22" fillId="35" borderId="12" numFmtId="49" xfId="0" applyNumberFormat="1" applyFont="1" applyFill="1" applyBorder="1">
      <alignment horizontal="center" vertical="center" wrapText="1"/>
    </xf>
    <xf fontId="22" fillId="35" borderId="12" numFmtId="0" xfId="0" applyFont="1" applyFill="1" applyBorder="1">
      <alignment horizontal="center" vertical="center" wrapText="1"/>
    </xf>
    <xf fontId="22" fillId="35" borderId="12" numFmtId="0" xfId="0" applyFont="1" applyFill="1" applyBorder="1">
      <alignment vertical="center" wrapText="1"/>
    </xf>
    <xf fontId="65" fillId="35" borderId="0" numFmtId="0" xfId="0" applyFont="1" applyFill="1"/>
    <xf fontId="51" fillId="35" borderId="0" numFmtId="0" xfId="0" applyFont="1" applyFill="1"/>
    <xf fontId="61" fillId="35" borderId="0" numFmtId="0" xfId="0" applyFont="1" applyFill="1"/>
    <xf fontId="61" fillId="35" borderId="0" numFmtId="0" xfId="0" applyFont="1" applyFill="1">
      <alignment horizontal="center"/>
    </xf>
    <xf fontId="58" fillId="0" borderId="0" numFmtId="0" xfId="0" applyFont="1">
      <alignment vertical="center" wrapText="1"/>
    </xf>
    <xf fontId="60" fillId="0" borderId="0" numFmtId="0" xfId="0" applyFont="1">
      <alignment vertical="center" wrapText="1"/>
    </xf>
    <xf fontId="60" fillId="35" borderId="0" numFmtId="0" xfId="0" applyFont="1" applyFill="1">
      <alignment vertical="center" wrapText="1"/>
    </xf>
    <xf fontId="60" fillId="35" borderId="0" numFmtId="0" xfId="0" applyFont="1" applyFill="1">
      <alignment horizontal="right" vertical="center"/>
    </xf>
    <xf fontId="60" fillId="35" borderId="0" numFmtId="0" xfId="0" applyFont="1" applyFill="1">
      <alignment horizontal="right" vertical="center" wrapText="1"/>
    </xf>
    <xf fontId="60" fillId="0" borderId="0" numFmtId="4" xfId="0" applyNumberFormat="1" applyFont="1">
      <alignment horizontal="right" vertical="center" wrapText="1"/>
    </xf>
    <xf fontId="60" fillId="0" borderId="0" numFmtId="0" xfId="0" applyFont="1">
      <alignment horizontal="left" indent="1" vertical="center" wrapText="1"/>
    </xf>
    <xf fontId="79" fillId="35" borderId="0" numFmtId="0" xfId="0" applyFont="1" applyFill="1">
      <alignment horizontal="center" vertical="center" wrapText="1"/>
    </xf>
    <xf fontId="35" fillId="35" borderId="0" numFmtId="0" xfId="0" applyFont="1" applyFill="1">
      <alignment horizontal="center" vertical="center" wrapText="1"/>
    </xf>
    <xf fontId="64" fillId="0" borderId="0" numFmtId="0" xfId="0" applyFont="1">
      <alignment vertical="center" wrapText="1"/>
    </xf>
    <xf fontId="47" fillId="0" borderId="0" numFmtId="0" xfId="0" applyFont="1">
      <alignment vertical="center" wrapText="1"/>
    </xf>
    <xf fontId="22" fillId="40" borderId="12" numFmtId="49" xfId="0" applyNumberFormat="1" applyFont="1" applyFill="1" applyBorder="1">
      <alignment horizontal="left" vertical="center" wrapText="1"/>
    </xf>
    <xf fontId="64" fillId="0" borderId="0" numFmtId="0" xfId="0" applyFont="1">
      <alignment horizontal="center" vertical="center" wrapText="1"/>
    </xf>
    <xf fontId="22" fillId="35" borderId="24" numFmtId="0" xfId="0" applyFont="1" applyFill="1" applyBorder="1">
      <alignment vertical="center" wrapText="1"/>
    </xf>
    <xf fontId="35" fillId="35" borderId="15" numFmtId="49" xfId="0" applyNumberFormat="1" applyFont="1" applyFill="1" applyBorder="1">
      <alignment horizontal="center" vertical="center" wrapText="1"/>
    </xf>
    <xf fontId="47" fillId="0" borderId="0" numFmtId="0" xfId="0" applyFont="1">
      <alignment horizontal="center" vertical="center" wrapText="1"/>
    </xf>
    <xf fontId="79" fillId="0" borderId="0" numFmtId="0" xfId="0" applyFont="1">
      <alignment horizontal="center" vertical="center" wrapText="1"/>
    </xf>
    <xf fontId="72" fillId="0" borderId="0" numFmtId="0" xfId="0" applyFont="1">
      <alignment vertical="center" wrapText="1"/>
    </xf>
    <xf fontId="72" fillId="0" borderId="12" numFmtId="49" xfId="0" applyNumberFormat="1" applyFont="1" applyBorder="1">
      <alignment horizontal="left" vertical="center" wrapText="1"/>
    </xf>
    <xf fontId="80" fillId="35" borderId="0" numFmtId="0" xfId="0" applyFont="1" applyFill="1">
      <alignment horizontal="center" vertical="center" wrapText="1"/>
    </xf>
    <xf fontId="72" fillId="0" borderId="17" numFmtId="49" xfId="0" applyNumberFormat="1" applyFont="1" applyBorder="1">
      <alignment horizontal="left" vertical="center" wrapText="1"/>
    </xf>
    <xf fontId="47" fillId="0" borderId="0" numFmtId="0" xfId="0" applyFont="1">
      <alignment vertical="center"/>
    </xf>
    <xf fontId="47" fillId="35" borderId="0" numFmtId="0" xfId="0" applyFont="1" applyFill="1"/>
    <xf fontId="47" fillId="35" borderId="0" numFmtId="0" xfId="0" applyFont="1" applyFill="1">
      <alignment vertical="center" wrapText="1"/>
    </xf>
    <xf fontId="47" fillId="0" borderId="0" numFmtId="0" xfId="0" applyFont="1">
      <alignment vertical="center" wrapText="1"/>
    </xf>
    <xf fontId="22" fillId="0" borderId="0" numFmtId="49" xfId="0" applyNumberFormat="1" applyFont="1">
      <alignment vertical="top"/>
    </xf>
    <xf fontId="22" fillId="0" borderId="0" numFmtId="0" xfId="0" applyFont="1">
      <alignment vertical="center" wrapText="1"/>
    </xf>
    <xf fontId="36" fillId="35" borderId="0" numFmtId="0" xfId="0" applyFont="1" applyFill="1">
      <alignment horizontal="center" vertical="center" wrapText="1"/>
    </xf>
    <xf fontId="41" fillId="0" borderId="0" numFmtId="0" xfId="0" applyFont="1">
      <alignment vertical="center" wrapText="1"/>
    </xf>
    <xf fontId="22" fillId="0" borderId="12" numFmtId="49" xfId="0" applyNumberFormat="1" applyFont="1" applyBorder="1">
      <alignment horizontal="left" vertical="center" wrapText="1"/>
    </xf>
    <xf fontId="22" fillId="0" borderId="0" numFmtId="0" xfId="0" applyFont="1">
      <alignment vertical="center" wrapText="1"/>
    </xf>
    <xf fontId="47" fillId="0" borderId="0" numFmtId="49" xfId="0" applyNumberFormat="1" applyFont="1">
      <alignment vertical="center" wrapText="1"/>
    </xf>
    <xf fontId="47" fillId="0" borderId="0" numFmtId="0" xfId="0" applyFont="1">
      <alignment vertical="center" wrapText="1"/>
    </xf>
    <xf fontId="22" fillId="0" borderId="12" numFmtId="0" xfId="0" applyFont="1" applyBorder="1">
      <alignment horizontal="center" vertical="center" wrapText="1"/>
    </xf>
    <xf fontId="22" fillId="37" borderId="15" numFmtId="14" xfId="0" applyNumberFormat="1" applyFont="1" applyFill="1" applyBorder="1">
      <alignment horizontal="center" vertical="center" wrapText="1"/>
    </xf>
    <xf fontId="22" fillId="37" borderId="15" numFmtId="49" xfId="0" applyNumberFormat="1" applyFont="1" applyFill="1" applyBorder="1">
      <alignment horizontal="center" vertical="center" wrapText="1"/>
    </xf>
    <xf fontId="81" fillId="37" borderId="15" numFmtId="14" xfId="0" applyNumberFormat="1" applyFont="1" applyFill="1" applyBorder="1">
      <alignment horizontal="center" vertical="center" wrapText="1"/>
    </xf>
    <xf fontId="47" fillId="0" borderId="0" numFmtId="0" xfId="0" applyFont="1">
      <alignment horizontal="left" vertical="center" wrapText="1"/>
    </xf>
    <xf fontId="47" fillId="0" borderId="0" numFmtId="49" xfId="0" applyNumberFormat="1" applyFont="1">
      <alignment horizontal="left" vertical="center" wrapText="1"/>
    </xf>
    <xf fontId="47" fillId="0" borderId="0" numFmtId="0" xfId="0" applyFont="1">
      <alignment vertical="center" wrapText="1"/>
    </xf>
    <xf fontId="53" fillId="0" borderId="12" numFmtId="49" xfId="0" applyNumberFormat="1" applyFont="1" applyBorder="1">
      <alignment horizontal="left" vertical="center" wrapText="1"/>
    </xf>
    <xf fontId="22" fillId="40" borderId="12" numFmtId="14" xfId="0" applyNumberFormat="1" applyFont="1" applyFill="1" applyBorder="1">
      <alignment horizontal="center" vertical="center" wrapText="1"/>
    </xf>
    <xf fontId="22" fillId="0" borderId="12" numFmtId="0" xfId="0" applyFont="1" applyBorder="1">
      <alignment horizontal="center" vertical="center" wrapText="1"/>
    </xf>
    <xf fontId="22" fillId="0" borderId="0" numFmtId="0" xfId="0" applyFont="1">
      <alignment horizontal="center" vertical="center" wrapText="1"/>
    </xf>
    <xf fontId="22" fillId="0" borderId="12" numFmtId="0" xfId="0" applyFont="1" applyBorder="1">
      <alignment horizontal="center" vertical="center" wrapText="1"/>
    </xf>
    <xf fontId="22" fillId="40" borderId="12" numFmtId="49" xfId="0" applyNumberFormat="1" applyFont="1" applyFill="1" applyBorder="1">
      <alignment horizontal="center" vertical="center" wrapText="1"/>
    </xf>
    <xf fontId="82" fillId="0" borderId="0" numFmtId="0" xfId="0" applyFont="1">
      <alignment horizontal="center" vertical="center" wrapText="1"/>
    </xf>
    <xf fontId="36" fillId="0" borderId="0" numFmtId="0" xfId="0" applyFont="1">
      <alignment horizontal="center" vertical="center" wrapText="1"/>
    </xf>
    <xf fontId="22" fillId="0" borderId="12" numFmtId="49" xfId="0" applyNumberFormat="1" applyFont="1" applyBorder="1">
      <alignment horizontal="center" vertical="center" wrapText="1"/>
    </xf>
    <xf fontId="0" fillId="35" borderId="14" numFmtId="0" xfId="0" applyFont="1" applyFill="1" applyBorder="1">
      <alignment horizontal="left" vertical="center" wrapText="1"/>
    </xf>
    <xf fontId="49" fillId="37" borderId="15" numFmtId="49" xfId="0" applyNumberFormat="1" applyFont="1" applyFill="1" applyBorder="1">
      <alignment horizontal="center" vertical="center"/>
    </xf>
    <xf fontId="32" fillId="0" borderId="0" numFmtId="0" xfId="0" applyFont="1">
      <alignment vertical="center" wrapText="1"/>
    </xf>
    <xf fontId="31" fillId="0" borderId="0" numFmtId="0" xfId="0" applyFont="1">
      <alignment horizontal="center" vertical="center" wrapText="1"/>
    </xf>
    <xf fontId="22" fillId="0" borderId="0" numFmtId="0" xfId="0" applyFont="1">
      <alignment horizontal="center" vertical="center" wrapText="1"/>
    </xf>
    <xf fontId="22" fillId="0" borderId="0" numFmtId="0" xfId="0" applyFont="1">
      <alignment vertical="center" wrapText="1"/>
    </xf>
    <xf fontId="46" fillId="0" borderId="0" numFmtId="0" xfId="0" applyFont="1">
      <alignment horizontal="center" vertical="center" wrapText="1"/>
    </xf>
    <xf fontId="83" fillId="0" borderId="0" numFmtId="0" xfId="0" applyFont="1">
      <alignment vertical="center" wrapText="1"/>
    </xf>
    <xf fontId="46" fillId="0" borderId="0" numFmtId="49" xfId="0" applyNumberFormat="1" applyFont="1">
      <alignment horizontal="center" vertical="center" wrapText="1"/>
    </xf>
    <xf fontId="46" fillId="0" borderId="0" numFmtId="0" xfId="0" applyFont="1">
      <alignment vertical="center" wrapText="1"/>
    </xf>
    <xf fontId="22" fillId="0" borderId="0" numFmtId="49" xfId="0" applyNumberFormat="1" applyFont="1">
      <alignment horizontal="center" vertical="top" wrapText="1"/>
    </xf>
    <xf fontId="22" fillId="0" borderId="12" numFmtId="49" xfId="0" applyNumberFormat="1" applyFont="1" applyBorder="1">
      <alignment horizontal="center" vertical="center" wrapText="1"/>
    </xf>
    <xf fontId="22" fillId="39" borderId="12" numFmtId="49" xfId="0" applyNumberFormat="1" applyFont="1" applyFill="1" applyBorder="1">
      <alignment vertical="center" wrapText="1"/>
      <protection locked="0"/>
    </xf>
    <xf fontId="22" fillId="36" borderId="12" numFmtId="4" xfId="0" applyNumberFormat="1" applyFont="1" applyFill="1" applyBorder="1">
      <alignment horizontal="right" vertical="center" wrapText="1"/>
      <protection locked="0"/>
    </xf>
    <xf fontId="22" fillId="0" borderId="13" numFmtId="0" xfId="0" applyFont="1" applyBorder="1">
      <alignment vertical="top" wrapText="1"/>
    </xf>
    <xf fontId="84" fillId="0" borderId="0" numFmtId="0" xfId="0" applyFont="1">
      <alignment vertical="center" wrapText="1"/>
    </xf>
    <xf fontId="54" fillId="0" borderId="0" numFmtId="0" xfId="0" applyFont="1">
      <alignment vertical="center" wrapText="1"/>
    </xf>
    <xf fontId="22" fillId="36" borderId="12" numFmtId="189" xfId="0" applyNumberFormat="1" applyFont="1" applyFill="1" applyBorder="1">
      <alignment horizontal="right" vertical="center" wrapText="1"/>
      <protection locked="0"/>
    </xf>
    <xf fontId="22" fillId="0" borderId="28" numFmtId="0" xfId="0" applyFont="1" applyBorder="1">
      <alignment horizontal="center" vertical="center" wrapText="1"/>
    </xf>
    <xf fontId="22" fillId="39" borderId="12" numFmtId="0" xfId="0" applyFont="1" applyFill="1" applyBorder="1">
      <alignment horizontal="left" indent="2" vertical="center" wrapText="1"/>
      <protection locked="0"/>
    </xf>
    <xf fontId="47" fillId="0" borderId="0" numFmtId="49" xfId="0" applyNumberFormat="1" applyFont="1">
      <alignment horizontal="center" vertical="center" wrapText="1"/>
    </xf>
    <xf fontId="47" fillId="0" borderId="28" numFmtId="0" xfId="0" applyFont="1" applyBorder="1">
      <alignment horizontal="center" vertical="center" wrapText="1"/>
    </xf>
    <xf fontId="47" fillId="0" borderId="12" numFmtId="0" xfId="0" applyFont="1" applyBorder="1">
      <alignment horizontal="left" indent="2" vertical="center" wrapText="1"/>
    </xf>
    <xf fontId="47" fillId="0" borderId="12" numFmtId="0" xfId="0" applyFont="1" applyBorder="1">
      <alignment horizontal="center" vertical="center" wrapText="1"/>
    </xf>
    <xf fontId="47" fillId="0" borderId="12" numFmtId="0" xfId="0" applyFont="1" applyBorder="1">
      <alignment vertical="center" wrapText="1"/>
    </xf>
    <xf fontId="22" fillId="0" borderId="12" numFmtId="0" xfId="0" applyFont="1" applyBorder="1">
      <alignment horizontal="left" indent="3" vertical="center" wrapText="1"/>
    </xf>
    <xf fontId="22" fillId="39" borderId="12" numFmtId="49" xfId="0" applyNumberFormat="1" applyFont="1" applyFill="1" applyBorder="1">
      <alignment horizontal="center" vertical="center" wrapText="1"/>
      <protection locked="0"/>
    </xf>
    <xf fontId="22" fillId="36" borderId="12" numFmtId="0" xfId="0" applyFont="1" applyFill="1" applyBorder="1">
      <alignment horizontal="left" vertical="center" wrapText="1"/>
      <protection locked="0"/>
    </xf>
    <xf fontId="45" fillId="0" borderId="0" numFmtId="0" xfId="0" applyFont="1">
      <alignment vertical="center" wrapText="1"/>
    </xf>
    <xf fontId="22" fillId="39" borderId="12" numFmtId="4" xfId="0" applyNumberFormat="1" applyFont="1" applyFill="1" applyBorder="1">
      <alignment horizontal="right" vertical="center" wrapText="1"/>
      <protection locked="0"/>
    </xf>
    <xf fontId="22" fillId="34" borderId="12" numFmtId="4" xfId="0" applyNumberFormat="1" applyFont="1" applyFill="1" applyBorder="1">
      <alignment horizontal="right" vertical="center" wrapText="1"/>
    </xf>
    <xf fontId="22" fillId="0" borderId="12" numFmtId="0" xfId="0" applyFont="1" applyBorder="1">
      <alignment horizontal="left" indent="1" vertical="center" wrapText="1"/>
    </xf>
    <xf fontId="72" fillId="0" borderId="0" numFmtId="49" xfId="0" applyNumberFormat="1" applyFont="1">
      <alignment horizontal="center" vertical="center" wrapText="1"/>
    </xf>
    <xf fontId="72" fillId="0" borderId="28" numFmtId="49" xfId="0" applyNumberFormat="1" applyFont="1" applyBorder="1">
      <alignment horizontal="center" vertical="center" wrapText="1"/>
    </xf>
    <xf fontId="72" fillId="0" borderId="12" numFmtId="0" xfId="0" applyFont="1" applyBorder="1">
      <alignment horizontal="left" indent="2" vertical="center" wrapText="1"/>
    </xf>
    <xf fontId="72" fillId="0" borderId="12" numFmtId="0" xfId="0" applyFont="1" applyBorder="1">
      <alignment horizontal="center" vertical="center" wrapText="1"/>
    </xf>
    <xf fontId="72" fillId="0" borderId="12" numFmtId="0" xfId="0" applyFont="1" applyBorder="1">
      <alignment vertical="center" wrapText="1"/>
    </xf>
    <xf fontId="85" fillId="0" borderId="0" numFmtId="0" xfId="0" applyFont="1">
      <alignment vertical="center" wrapText="1"/>
    </xf>
    <xf fontId="63" fillId="0" borderId="0" numFmtId="0" xfId="0" applyFont="1">
      <alignment vertical="center" wrapText="1"/>
    </xf>
    <xf fontId="72" fillId="0" borderId="28" numFmtId="0" xfId="0" applyFont="1" applyBorder="1">
      <alignment horizontal="center" vertical="center" wrapText="1"/>
    </xf>
    <xf fontId="72" fillId="0" borderId="12" numFmtId="0" xfId="0" applyFont="1" applyBorder="1">
      <alignment horizontal="left" indent="3" vertical="center" wrapText="1"/>
    </xf>
    <xf fontId="72" fillId="0" borderId="12" numFmtId="4" xfId="0" applyNumberFormat="1" applyFont="1" applyBorder="1">
      <alignment horizontal="right" vertical="center" wrapText="1"/>
    </xf>
    <xf fontId="22" fillId="37" borderId="14" numFmtId="49" xfId="0" applyNumberFormat="1" applyFont="1" applyFill="1" applyBorder="1">
      <alignment vertical="center" wrapText="1"/>
    </xf>
    <xf fontId="39" fillId="37" borderId="15" numFmtId="49" xfId="0" applyNumberFormat="1" applyFont="1" applyFill="1" applyBorder="1">
      <alignment horizontal="left" indent="2" vertical="center"/>
    </xf>
    <xf fontId="22" fillId="37" borderId="15" numFmtId="0" xfId="0" applyFont="1" applyFill="1" applyBorder="1">
      <alignment vertical="center" wrapText="1"/>
    </xf>
    <xf fontId="46" fillId="37" borderId="13" numFmtId="0" xfId="0" applyFont="1" applyFill="1" applyBorder="1">
      <alignment vertical="center" wrapText="1"/>
    </xf>
    <xf fontId="22" fillId="0" borderId="0" numFmtId="14" xfId="0" applyNumberFormat="1" applyFont="1">
      <alignment horizontal="center" vertical="center" wrapText="1"/>
    </xf>
    <xf fontId="49" fillId="0" borderId="0" numFmtId="49" xfId="0" applyNumberFormat="1" applyFont="1">
      <alignment horizontal="center" vertical="center"/>
    </xf>
    <xf fontId="22" fillId="0" borderId="12" numFmtId="0" xfId="0" applyFont="1" applyBorder="1">
      <alignment horizontal="left" indent="2" vertical="center" wrapText="1"/>
    </xf>
    <xf fontId="22" fillId="39" borderId="12" numFmtId="189" xfId="0" applyNumberFormat="1" applyFont="1" applyFill="1" applyBorder="1">
      <alignment horizontal="right" vertical="center" wrapText="1"/>
      <protection locked="0"/>
    </xf>
    <xf fontId="22" fillId="0" borderId="17" numFmtId="0" xfId="0" applyFont="1" applyBorder="1">
      <alignment horizontal="center" vertical="center" wrapText="1"/>
    </xf>
    <xf fontId="22" fillId="34" borderId="17" numFmtId="4" xfId="0" applyNumberFormat="1" applyFont="1" applyFill="1" applyBorder="1">
      <alignment horizontal="right" vertical="center" wrapText="1"/>
    </xf>
    <xf fontId="39" fillId="37" borderId="15" numFmtId="49" xfId="0" applyNumberFormat="1" applyFont="1" applyFill="1" applyBorder="1">
      <alignment horizontal="left" indent="1" vertical="center"/>
    </xf>
    <xf fontId="22" fillId="0" borderId="0" numFmtId="0" xfId="0" applyFont="1">
      <alignment horizontal="left" vertical="center" wrapText="1"/>
    </xf>
    <xf fontId="22" fillId="0" borderId="0" numFmtId="0" xfId="0" applyFont="1">
      <alignment vertical="center"/>
    </xf>
    <xf fontId="0" fillId="0" borderId="0" numFmtId="0" xfId="0" applyFont="1">
      <alignment vertical="center"/>
    </xf>
    <xf fontId="46" fillId="0" borderId="0" numFmtId="0" xfId="0" applyFont="1">
      <alignment vertical="center"/>
    </xf>
    <xf fontId="22" fillId="0" borderId="0" numFmtId="0" xfId="0" applyFont="1">
      <alignment vertical="center"/>
    </xf>
    <xf fontId="86" fillId="0" borderId="0" numFmtId="0" xfId="0" applyFont="1">
      <alignment vertical="center"/>
    </xf>
    <xf fontId="40" fillId="0" borderId="0" numFmtId="0" xfId="0" applyFont="1">
      <alignment vertical="center"/>
    </xf>
    <xf fontId="22" fillId="0" borderId="0" numFmtId="0" xfId="0" applyFont="1">
      <alignment vertical="center" wrapText="1"/>
    </xf>
    <xf fontId="40" fillId="0" borderId="0" numFmtId="0" xfId="0" applyFont="1">
      <alignment vertical="center"/>
    </xf>
    <xf fontId="86" fillId="0" borderId="0" numFmtId="0" xfId="0" applyFont="1">
      <alignment vertical="center"/>
    </xf>
    <xf fontId="52" fillId="0" borderId="0" numFmtId="0" xfId="0" applyFont="1">
      <alignment vertical="center"/>
    </xf>
    <xf fontId="22" fillId="0" borderId="0" numFmtId="0" xfId="0" applyFont="1">
      <alignment horizontal="center" vertical="center" wrapText="1"/>
    </xf>
    <xf fontId="35" fillId="0" borderId="0" numFmtId="49" xfId="0" applyNumberFormat="1" applyFont="1">
      <alignment horizontal="center" vertical="center" wrapText="1"/>
    </xf>
    <xf fontId="35" fillId="0" borderId="12" numFmtId="49" xfId="0" applyNumberFormat="1" applyFont="1" applyBorder="1">
      <alignment horizontal="center" vertical="center" wrapText="1"/>
    </xf>
    <xf fontId="46" fillId="0" borderId="0" numFmtId="0" xfId="0" applyFont="1">
      <alignment vertical="center"/>
    </xf>
    <xf fontId="0" fillId="0" borderId="0" numFmtId="0" xfId="0" applyFont="1">
      <alignment vertical="center"/>
    </xf>
    <xf fontId="47" fillId="0" borderId="0" numFmtId="0" xfId="0" applyFont="1">
      <alignment horizontal="center" vertical="center"/>
    </xf>
    <xf fontId="22" fillId="0" borderId="0" numFmtId="0" xfId="0" applyFont="1">
      <alignment horizontal="center" vertical="center" wrapText="1"/>
    </xf>
    <xf fontId="22" fillId="37" borderId="14" numFmtId="0" xfId="0" applyFont="1" applyFill="1" applyBorder="1">
      <alignment horizontal="center" vertical="center" wrapText="1"/>
    </xf>
    <xf fontId="22" fillId="37" borderId="15" numFmtId="49" xfId="0" applyNumberFormat="1" applyFont="1" applyFill="1" applyBorder="1">
      <alignment horizontal="center" vertical="center" wrapText="1"/>
    </xf>
    <xf fontId="0" fillId="37" borderId="13" numFmtId="0" xfId="0" applyFont="1" applyFill="1" applyBorder="1">
      <alignment vertical="center"/>
    </xf>
    <xf fontId="22" fillId="0" borderId="17" numFmtId="49" xfId="0" applyNumberFormat="1" applyFont="1" applyBorder="1">
      <alignment horizontal="center" vertical="center" wrapText="1"/>
    </xf>
    <xf fontId="75" fillId="0" borderId="12" numFmtId="49" xfId="0" applyNumberFormat="1" applyFont="1" applyBorder="1">
      <alignment horizontal="left" indent="1" vertical="center" wrapText="1"/>
    </xf>
    <xf fontId="46" fillId="0" borderId="0" numFmtId="0" xfId="0" applyFont="1">
      <alignment vertical="center"/>
    </xf>
    <xf fontId="74" fillId="0" borderId="0" numFmtId="0" xfId="0" applyFont="1">
      <alignment vertical="center"/>
    </xf>
    <xf fontId="0" fillId="0" borderId="0" numFmtId="0" xfId="0" applyFont="1">
      <alignment vertical="center"/>
    </xf>
    <xf fontId="39" fillId="37" borderId="13" numFmtId="49" xfId="0" applyNumberFormat="1" applyFont="1" applyFill="1" applyBorder="1">
      <alignment horizontal="left" indent="1" vertical="center"/>
    </xf>
    <xf fontId="49" fillId="37" borderId="13" numFmtId="49" xfId="0" applyNumberFormat="1" applyFont="1" applyFill="1" applyBorder="1">
      <alignment horizontal="right" vertical="center" wrapText="1"/>
    </xf>
    <xf fontId="75" fillId="42" borderId="0" numFmtId="0" xfId="0" applyFont="1" applyFill="1">
      <alignment vertical="top"/>
    </xf>
    <xf fontId="31" fillId="0" borderId="0" numFmtId="49" xfId="0" applyNumberFormat="1" applyFont="1">
      <alignment horizontal="center" vertical="center" wrapText="1"/>
    </xf>
    <xf fontId="47" fillId="0" borderId="0" numFmtId="0" xfId="0" applyFont="1">
      <alignment vertical="center" wrapText="1"/>
    </xf>
    <xf fontId="31" fillId="0" borderId="0" numFmtId="0" xfId="0" applyFont="1">
      <alignment vertical="center" wrapText="1"/>
    </xf>
    <xf fontId="22" fillId="0" borderId="0" numFmtId="0" xfId="0" applyFont="1">
      <alignment horizontal="center" vertical="center" wrapText="1"/>
    </xf>
    <xf fontId="49" fillId="0" borderId="0" numFmtId="0" xfId="0" applyFont="1">
      <alignment horizontal="center" vertical="center" wrapText="1"/>
    </xf>
    <xf fontId="31" fillId="0" borderId="0" numFmtId="49" xfId="0" applyNumberFormat="1" applyFont="1">
      <alignment horizontal="center" vertical="center" wrapText="1"/>
    </xf>
    <xf fontId="22" fillId="0" borderId="0" numFmtId="4" xfId="0" applyNumberFormat="1" applyFont="1">
      <alignment horizontal="right" vertical="center" wrapText="1"/>
    </xf>
    <xf fontId="49" fillId="0" borderId="0" numFmtId="9" xfId="0" applyNumberFormat="1" applyFont="1">
      <alignment horizontal="center" vertical="center" wrapText="1"/>
    </xf>
    <xf fontId="71" fillId="0" borderId="0" numFmtId="0" xfId="0" applyFont="1">
      <alignment vertical="center" wrapText="1"/>
    </xf>
    <xf fontId="47" fillId="0" borderId="0" numFmtId="0" xfId="0" applyFont="1">
      <alignment vertical="center" wrapText="1"/>
    </xf>
    <xf fontId="31" fillId="0" borderId="0" numFmtId="0" xfId="0" applyFont="1">
      <alignment vertical="center" wrapText="1"/>
    </xf>
    <xf fontId="63" fillId="0" borderId="0" numFmtId="49" xfId="0" applyNumberFormat="1" applyFont="1">
      <alignment horizontal="center" vertical="center" wrapText="1"/>
    </xf>
    <xf fontId="63" fillId="0" borderId="0" numFmtId="0" xfId="0" applyFont="1">
      <alignment vertical="center" wrapText="1"/>
    </xf>
    <xf fontId="0" fillId="0" borderId="0" numFmtId="0" xfId="0" applyFont="1">
      <alignment vertical="top"/>
    </xf>
    <xf fontId="0" fillId="0" borderId="0" numFmtId="49" xfId="0" applyNumberFormat="1" applyFont="1">
      <alignment vertical="top"/>
    </xf>
    <xf fontId="47" fillId="0" borderId="0" numFmtId="49" xfId="0" applyNumberFormat="1" applyFont="1">
      <alignment vertical="top"/>
    </xf>
    <xf fontId="46" fillId="0" borderId="0" numFmtId="49" xfId="0" applyNumberFormat="1" applyFont="1">
      <alignment vertical="top"/>
    </xf>
    <xf fontId="47" fillId="0" borderId="0" numFmtId="49" xfId="0" applyNumberFormat="1" applyFont="1">
      <alignment vertical="top"/>
    </xf>
    <xf fontId="46" fillId="0" borderId="0" numFmtId="49" xfId="0" applyNumberFormat="1" applyFont="1">
      <alignment vertical="top"/>
    </xf>
    <xf fontId="46" fillId="0" borderId="0" numFmtId="49" xfId="0" applyNumberFormat="1" applyFont="1">
      <alignment vertical="top"/>
    </xf>
    <xf fontId="46" fillId="0" borderId="0" numFmtId="0" xfId="0" applyFont="1">
      <alignment vertical="top"/>
    </xf>
    <xf fontId="74" fillId="0" borderId="0" numFmtId="0" xfId="0" applyFont="1">
      <alignment vertical="top"/>
    </xf>
    <xf fontId="87" fillId="0" borderId="0" numFmtId="0" xfId="0" applyFont="1">
      <alignment vertical="top"/>
    </xf>
    <xf fontId="46" fillId="0" borderId="0" numFmtId="0" xfId="0" applyFont="1">
      <alignment horizontal="center" vertical="center" wrapText="1"/>
    </xf>
    <xf fontId="47" fillId="0" borderId="0" numFmtId="0" xfId="0" applyFont="1">
      <alignment horizontal="center" vertical="center" wrapText="1"/>
    </xf>
    <xf fontId="47" fillId="0" borderId="12" numFmtId="0" xfId="0" applyFont="1" applyBorder="1">
      <alignment horizontal="left" vertical="center" wrapText="1"/>
    </xf>
    <xf fontId="47" fillId="0" borderId="12" numFmtId="0" xfId="0" applyFont="1" applyBorder="1">
      <alignment vertical="center" wrapText="1"/>
    </xf>
    <xf fontId="0" fillId="0" borderId="13" numFmtId="49" xfId="0" applyNumberFormat="1" applyFont="1" applyBorder="1">
      <alignment horizontal="center" vertical="center" wrapText="1"/>
    </xf>
    <xf fontId="0" fillId="0" borderId="12" numFmtId="49" xfId="0" applyNumberFormat="1" applyFont="1" applyBorder="1">
      <alignment horizontal="center" vertical="center"/>
    </xf>
    <xf fontId="0" fillId="34" borderId="12" numFmtId="4" xfId="0" applyNumberFormat="1" applyFont="1" applyFill="1" applyBorder="1">
      <alignment horizontal="right" vertical="center" wrapText="1"/>
    </xf>
    <xf fontId="0" fillId="0" borderId="12" numFmtId="0" xfId="0" applyFont="1" applyBorder="1">
      <alignment vertical="center" wrapText="1"/>
    </xf>
    <xf fontId="0" fillId="0" borderId="29" numFmtId="49" xfId="0" applyNumberFormat="1" applyFont="1" applyBorder="1">
      <alignment horizontal="center" vertical="center" wrapText="1"/>
    </xf>
    <xf fontId="0" fillId="39" borderId="12" numFmtId="4" xfId="0" applyNumberFormat="1" applyFont="1" applyFill="1" applyBorder="1">
      <alignment horizontal="right" vertical="center" wrapText="1"/>
      <protection locked="0"/>
    </xf>
    <xf fontId="0" fillId="39" borderId="12" numFmtId="49" xfId="0" applyNumberFormat="1" applyFont="1" applyFill="1" applyBorder="1">
      <alignment horizontal="center" vertical="center" wrapText="1"/>
      <protection locked="0"/>
    </xf>
    <xf fontId="46" fillId="0" borderId="12" numFmtId="4" xfId="0" applyNumberFormat="1" applyFont="1" applyBorder="1">
      <alignment horizontal="right" vertical="center" wrapText="1"/>
    </xf>
    <xf fontId="0" fillId="37" borderId="30" numFmtId="49" xfId="0" applyNumberFormat="1" applyFont="1" applyFill="1" applyBorder="1">
      <alignment horizontal="center" vertical="center"/>
    </xf>
    <xf fontId="0" fillId="37" borderId="15" numFmtId="49" xfId="0" applyNumberFormat="1" applyFont="1" applyFill="1" applyBorder="1">
      <alignment horizontal="center" vertical="center"/>
    </xf>
    <xf fontId="39" fillId="37" borderId="15" numFmtId="49" xfId="0" applyNumberFormat="1" applyFont="1" applyFill="1" applyBorder="1">
      <alignment horizontal="left" vertical="center"/>
    </xf>
    <xf fontId="39" fillId="37" borderId="13" numFmtId="49" xfId="0" applyNumberFormat="1" applyFont="1" applyFill="1" applyBorder="1">
      <alignment horizontal="left" indent="1" vertical="center"/>
    </xf>
    <xf fontId="39" fillId="37" borderId="14" numFmtId="49" xfId="0" applyNumberFormat="1" applyFont="1" applyFill="1" applyBorder="1">
      <alignment horizontal="left" vertical="center"/>
    </xf>
    <xf fontId="39" fillId="37" borderId="15" numFmtId="49" xfId="0" applyNumberFormat="1" applyFont="1" applyFill="1" applyBorder="1">
      <alignment horizontal="left" indent="1" vertical="center"/>
    </xf>
    <xf fontId="39" fillId="37" borderId="15" numFmtId="49" xfId="0" applyNumberFormat="1" applyFont="1" applyFill="1" applyBorder="1">
      <alignment horizontal="left" vertical="center"/>
    </xf>
    <xf fontId="39" fillId="37" borderId="13" numFmtId="49" xfId="0" applyNumberFormat="1" applyFont="1" applyFill="1" applyBorder="1">
      <alignment horizontal="left" indent="1" vertical="center"/>
    </xf>
    <xf fontId="39" fillId="0" borderId="12" numFmtId="0" xfId="0" applyFont="1" applyBorder="1">
      <alignment horizontal="left" indent="1" vertical="center"/>
    </xf>
    <xf fontId="22" fillId="0" borderId="0" numFmtId="0" xfId="0" applyFont="1">
      <alignment horizontal="right" vertical="center" wrapText="1"/>
    </xf>
    <xf fontId="0" fillId="0" borderId="0" numFmtId="0" xfId="0" applyFont="1">
      <alignment vertical="center"/>
    </xf>
    <xf fontId="44" fillId="0" borderId="0" numFmtId="0" xfId="0" applyFont="1">
      <alignment horizontal="right" vertical="top" wrapText="1"/>
    </xf>
    <xf fontId="22" fillId="0" borderId="0" numFmtId="0" xfId="0" applyFont="1">
      <alignment vertical="top" wrapText="1"/>
    </xf>
    <xf fontId="22" fillId="0" borderId="0" numFmtId="0" xfId="0" applyFont="1">
      <alignment horizontal="left" vertical="top" wrapText="1"/>
    </xf>
    <xf fontId="35" fillId="0" borderId="0" numFmtId="0" xfId="0" applyFont="1">
      <alignment horizontal="center" vertical="center" wrapText="1"/>
    </xf>
    <xf fontId="22" fillId="0" borderId="12" numFmtId="4" xfId="0" applyNumberFormat="1" applyFont="1" applyBorder="1">
      <alignment horizontal="center" vertical="center" wrapText="1"/>
    </xf>
    <xf fontId="53" fillId="36" borderId="14" numFmtId="49" xfId="0" applyNumberFormat="1" applyFont="1" applyFill="1" applyBorder="1">
      <alignment horizontal="left" vertical="center" wrapText="1"/>
      <protection locked="0"/>
    </xf>
    <xf fontId="53" fillId="36" borderId="14" numFmtId="49" xfId="0" applyNumberFormat="1" applyFont="1" applyFill="1" applyBorder="1">
      <alignment horizontal="left" vertical="center" wrapText="1"/>
      <protection locked="0"/>
    </xf>
    <xf fontId="22" fillId="39" borderId="12" numFmtId="49" xfId="0" applyNumberFormat="1" applyFont="1" applyFill="1" applyBorder="1">
      <alignment horizontal="left" vertical="center" wrapText="1"/>
      <protection locked="0"/>
    </xf>
    <xf fontId="44" fillId="0" borderId="0" numFmtId="0" xfId="0" applyFont="1">
      <alignment vertical="top"/>
    </xf>
    <xf fontId="22" fillId="0" borderId="31" numFmtId="49" xfId="0" applyNumberFormat="1" applyFont="1" applyBorder="1">
      <alignment horizontal="center" vertical="center" wrapText="1"/>
    </xf>
    <xf fontId="22" fillId="0" borderId="31" numFmtId="0" xfId="0" applyFont="1" applyBorder="1">
      <alignment horizontal="left" vertical="center" wrapText="1"/>
    </xf>
    <xf fontId="22" fillId="0" borderId="31" numFmtId="0" xfId="0" applyFont="1" applyBorder="1">
      <alignment horizontal="left" indent="1" vertical="center" wrapText="1"/>
    </xf>
    <xf fontId="22" fillId="39" borderId="31" numFmtId="4" xfId="0" applyNumberFormat="1" applyFont="1" applyFill="1" applyBorder="1">
      <alignment horizontal="right" vertical="center" wrapText="1"/>
      <protection locked="0"/>
    </xf>
    <xf fontId="22" fillId="0" borderId="32" numFmtId="49" xfId="0" applyNumberFormat="1" applyFont="1" applyBorder="1">
      <alignment horizontal="center" vertical="center" wrapText="1"/>
    </xf>
    <xf fontId="22" fillId="39" borderId="12" numFmtId="49" xfId="0" applyNumberFormat="1" applyFont="1" applyFill="1" applyBorder="1">
      <alignment horizontal="left" indent="1" vertical="center" wrapText="1"/>
      <protection locked="0"/>
    </xf>
    <xf fontId="22" fillId="0" borderId="31" numFmtId="0" xfId="0" applyFont="1" applyBorder="1">
      <alignment horizontal="left" indent="2" vertical="center" wrapText="1"/>
    </xf>
    <xf fontId="46" fillId="0" borderId="0" numFmtId="0" xfId="0" applyFont="1">
      <alignment horizontal="center" vertical="center" wrapText="1"/>
    </xf>
    <xf fontId="22" fillId="0" borderId="0" numFmtId="49" xfId="0" applyNumberFormat="1" applyFont="1">
      <alignment horizontal="left" vertical="center" wrapText="1"/>
    </xf>
    <xf fontId="83" fillId="0" borderId="0" numFmtId="0" xfId="0" applyFont="1">
      <alignment vertical="center" wrapText="1"/>
    </xf>
    <xf fontId="83" fillId="0" borderId="0" numFmtId="0" xfId="0" applyFont="1">
      <alignment vertical="center" wrapText="1"/>
    </xf>
    <xf fontId="22" fillId="0" borderId="0" numFmtId="0" xfId="0" applyFont="1">
      <alignment horizontal="left" vertical="center" wrapText="1"/>
    </xf>
    <xf fontId="22" fillId="0" borderId="12" numFmtId="0" xfId="0" applyFont="1" applyBorder="1">
      <alignment horizontal="left" vertical="center" wrapText="1"/>
    </xf>
    <xf fontId="22" fillId="0" borderId="14" numFmtId="3" xfId="0" applyNumberFormat="1" applyFont="1" applyBorder="1">
      <alignment vertical="center" wrapText="1"/>
    </xf>
    <xf fontId="22" fillId="0" borderId="13" numFmtId="0" xfId="0" applyFont="1" applyBorder="1">
      <alignment vertical="center" wrapText="1"/>
    </xf>
    <xf fontId="22" fillId="36" borderId="14" numFmtId="4" xfId="0" applyNumberFormat="1" applyFont="1" applyFill="1" applyBorder="1">
      <alignment horizontal="right" vertical="center" wrapText="1"/>
      <protection locked="0"/>
    </xf>
    <xf fontId="22" fillId="0" borderId="14" numFmtId="4" xfId="0" applyNumberFormat="1" applyFont="1" applyBorder="1">
      <alignment horizontal="right" vertical="center" wrapText="1"/>
    </xf>
    <xf fontId="22" fillId="0" borderId="30" numFmtId="4" xfId="0" applyNumberFormat="1" applyFont="1" applyBorder="1">
      <alignment horizontal="right" vertical="center" wrapText="1"/>
    </xf>
    <xf fontId="35" fillId="0" borderId="0" numFmtId="0" xfId="0" applyFont="1">
      <alignment horizontal="center" vertical="center" wrapText="1"/>
    </xf>
    <xf fontId="22" fillId="0" borderId="14" numFmtId="0" xfId="0" applyFont="1" applyBorder="1">
      <alignment horizontal="center" vertical="center" wrapText="1"/>
    </xf>
    <xf fontId="22" fillId="39" borderId="14" numFmtId="3" xfId="0" applyNumberFormat="1" applyFont="1" applyFill="1" applyBorder="1">
      <alignment vertical="center" wrapText="1"/>
      <protection locked="0"/>
    </xf>
    <xf fontId="22" fillId="36" borderId="14" numFmtId="49" xfId="0" applyNumberFormat="1" applyFont="1" applyFill="1" applyBorder="1">
      <alignment horizontal="left" vertical="center" wrapText="1"/>
      <protection locked="0"/>
    </xf>
    <xf fontId="22" fillId="34" borderId="14" numFmtId="4" xfId="0" applyNumberFormat="1" applyFont="1" applyFill="1" applyBorder="1">
      <alignment horizontal="right" vertical="center" wrapText="1"/>
    </xf>
    <xf fontId="22" fillId="0" borderId="0" numFmtId="0" xfId="0" applyFont="1">
      <alignment horizontal="left" vertical="center" wrapText="1"/>
    </xf>
    <xf fontId="0" fillId="0" borderId="14" numFmtId="0" xfId="0" applyFont="1" applyBorder="1">
      <alignment horizontal="center" vertical="center"/>
    </xf>
    <xf fontId="0" fillId="0" borderId="12" numFmtId="49" xfId="0" applyNumberFormat="1" applyFont="1" applyBorder="1">
      <alignment horizontal="left" indent="1" vertical="center" wrapText="1"/>
    </xf>
    <xf fontId="22" fillId="0" borderId="13" numFmtId="0" xfId="0" applyFont="1" applyBorder="1">
      <alignment horizontal="center" vertical="center" wrapText="1"/>
    </xf>
    <xf fontId="0" fillId="0" borderId="14" numFmtId="49" xfId="0" applyNumberFormat="1" applyFont="1" applyBorder="1">
      <alignment horizontal="center" vertical="center"/>
    </xf>
    <xf fontId="0" fillId="0" borderId="12" numFmtId="49" xfId="0" applyNumberFormat="1" applyFont="1" applyBorder="1">
      <alignment vertical="center" wrapText="1"/>
    </xf>
    <xf fontId="22" fillId="37" borderId="19" numFmtId="0" xfId="0" applyFont="1" applyFill="1" applyBorder="1">
      <alignment vertical="center" wrapText="1"/>
    </xf>
    <xf fontId="22" fillId="0" borderId="15" numFmtId="0" xfId="0" applyFont="1" applyBorder="1">
      <alignment horizontal="center" vertical="center" wrapText="1"/>
    </xf>
    <xf fontId="22" fillId="37" borderId="27" numFmtId="0" xfId="0" applyFont="1" applyFill="1" applyBorder="1">
      <alignment vertical="center" wrapText="1"/>
    </xf>
    <xf fontId="22" fillId="39" borderId="14" numFmtId="49" xfId="0" applyNumberFormat="1" applyFont="1" applyFill="1" applyBorder="1">
      <alignment horizontal="left" vertical="center" wrapText="1"/>
      <protection locked="0"/>
    </xf>
    <xf fontId="0" fillId="36" borderId="12" numFmtId="49" xfId="0" applyNumberFormat="1" applyFont="1" applyFill="1" applyBorder="1">
      <alignment horizontal="left" vertical="center" wrapText="1"/>
      <protection locked="0"/>
    </xf>
    <xf fontId="45" fillId="0" borderId="0" numFmtId="0" xfId="0" applyFont="1">
      <alignment horizontal="left" indent="1" vertical="center" wrapText="1"/>
    </xf>
    <xf fontId="88" fillId="0" borderId="0" numFmtId="0" xfId="0" applyFont="1">
      <alignment vertical="center" wrapText="1"/>
    </xf>
    <xf fontId="88" fillId="35" borderId="0" numFmtId="0" xfId="0" applyFont="1" applyFill="1">
      <alignment horizontal="center" vertical="center" wrapText="1"/>
    </xf>
    <xf fontId="88" fillId="35" borderId="0" numFmtId="0" xfId="0" applyFont="1" applyFill="1">
      <alignment horizontal="right" vertical="center" wrapText="1"/>
    </xf>
    <xf fontId="22" fillId="0" borderId="12" numFmtId="0" xfId="0" applyFont="1" applyBorder="1">
      <alignment horizontal="center" vertical="center" wrapText="1"/>
    </xf>
    <xf fontId="46" fillId="0" borderId="0" numFmtId="49" xfId="0" applyNumberFormat="1" applyFont="1">
      <alignment horizontal="center" vertical="center" wrapText="1"/>
    </xf>
    <xf fontId="22" fillId="0" borderId="12" numFmtId="0" xfId="0" applyFont="1" applyBorder="1">
      <alignment horizontal="center" vertical="center" wrapText="1"/>
    </xf>
    <xf fontId="46" fillId="0" borderId="0" numFmtId="0" xfId="0" applyFont="1">
      <alignment horizontal="center" vertical="top"/>
    </xf>
    <xf fontId="22" fillId="0" borderId="12" numFmtId="0" xfId="0" applyFont="1" applyBorder="1">
      <alignment horizontal="left" vertical="center" wrapText="1"/>
    </xf>
    <xf fontId="47" fillId="0" borderId="0" numFmtId="0" xfId="0" applyFont="1">
      <alignment horizontal="center" vertical="center" wrapText="1"/>
    </xf>
    <xf fontId="22" fillId="0" borderId="12" numFmtId="0" xfId="0" applyFont="1" applyBorder="1">
      <alignment horizontal="left" vertical="center" wrapText="1"/>
    </xf>
    <xf fontId="22" fillId="40" borderId="12" numFmtId="49" xfId="0" applyNumberFormat="1" applyFont="1" applyFill="1" applyBorder="1">
      <alignment horizontal="left" indent="1" vertical="center" wrapText="1"/>
    </xf>
    <xf fontId="22" fillId="0" borderId="14" numFmtId="0" xfId="0" applyFont="1" applyBorder="1">
      <alignment vertical="center" wrapText="1"/>
    </xf>
    <xf fontId="22" fillId="0" borderId="0" numFmtId="0" xfId="0" applyFont="1">
      <alignment horizontal="right" vertical="center"/>
    </xf>
    <xf fontId="53" fillId="37" borderId="13" numFmtId="49" xfId="0" applyNumberFormat="1" applyFont="1" applyFill="1" applyBorder="1">
      <alignment horizontal="left" vertical="center" wrapText="1"/>
    </xf>
    <xf fontId="89" fillId="0" borderId="0" numFmtId="0" xfId="0" applyFont="1">
      <alignment vertical="center"/>
    </xf>
    <xf fontId="90" fillId="0" borderId="0" numFmtId="0" xfId="0" applyFont="1">
      <alignment vertical="center"/>
    </xf>
    <xf fontId="47" fillId="0" borderId="22" numFmtId="49" xfId="0" applyNumberFormat="1" applyFont="1" applyBorder="1">
      <alignment vertical="top"/>
    </xf>
    <xf fontId="47" fillId="0" borderId="22" numFmtId="49" xfId="0" applyNumberFormat="1" applyFont="1" applyBorder="1">
      <alignment vertical="top"/>
    </xf>
    <xf fontId="47" fillId="0" borderId="22" numFmtId="0" xfId="0" applyFont="1" applyBorder="1">
      <alignment vertical="center" wrapText="1"/>
    </xf>
    <xf fontId="22" fillId="0" borderId="13" numFmtId="0" xfId="0" applyFont="1" applyBorder="1">
      <alignment horizontal="left" indent="1" vertical="center" wrapText="1"/>
    </xf>
    <xf fontId="71" fillId="0" borderId="22" numFmtId="0" xfId="0" applyFont="1" applyBorder="1">
      <alignment vertical="center" wrapText="1"/>
    </xf>
    <xf fontId="22" fillId="0" borderId="31" numFmtId="4" xfId="0" applyNumberFormat="1" applyFont="1" applyBorder="1">
      <alignment horizontal="center" vertical="center" wrapText="1"/>
    </xf>
    <xf fontId="22" fillId="0" borderId="33" numFmtId="0" xfId="0" applyFont="1" applyBorder="1">
      <alignment horizontal="left" vertical="center" wrapText="1"/>
    </xf>
    <xf fontId="22" fillId="0" borderId="33" numFmtId="0" xfId="0" applyFont="1" applyBorder="1">
      <alignment horizontal="left" indent="1" vertical="center" wrapText="1"/>
    </xf>
    <xf fontId="22" fillId="39" borderId="33" numFmtId="4" xfId="0" applyNumberFormat="1" applyFont="1" applyFill="1" applyBorder="1">
      <alignment horizontal="right" vertical="center" wrapText="1"/>
      <protection locked="0"/>
    </xf>
    <xf fontId="22" fillId="0" borderId="33" numFmtId="4" xfId="0" applyNumberFormat="1" applyFont="1" applyBorder="1">
      <alignment horizontal="center" vertical="center" wrapText="1"/>
    </xf>
    <xf fontId="22" fillId="0" borderId="34" numFmtId="49" xfId="0" applyNumberFormat="1" applyFont="1" applyBorder="1">
      <alignment horizontal="center" vertical="center" wrapText="1"/>
    </xf>
    <xf fontId="22" fillId="39" borderId="14" numFmtId="4" xfId="0" applyNumberFormat="1" applyFont="1" applyFill="1" applyBorder="1">
      <alignment horizontal="right" vertical="center" wrapText="1"/>
      <protection locked="0"/>
    </xf>
    <xf fontId="22" fillId="39" borderId="34" numFmtId="4" xfId="0" applyNumberFormat="1" applyFont="1" applyFill="1" applyBorder="1">
      <alignment horizontal="right" vertical="center" wrapText="1"/>
      <protection locked="0"/>
    </xf>
    <xf fontId="46" fillId="0" borderId="0" numFmtId="0" xfId="0" applyFont="1">
      <alignment horizontal="left" vertical="center" wrapText="1"/>
    </xf>
    <xf fontId="47" fillId="0" borderId="0" numFmtId="0" xfId="0" applyFont="1">
      <alignment horizontal="left" vertical="center" wrapText="1"/>
    </xf>
    <xf fontId="54" fillId="0" borderId="0" numFmtId="0" xfId="0" applyFont="1">
      <alignment horizontal="left" vertical="center" wrapText="1"/>
    </xf>
    <xf fontId="31" fillId="0" borderId="0" numFmtId="0" xfId="0" applyFont="1">
      <alignment horizontal="left" vertical="center" wrapText="1"/>
    </xf>
    <xf fontId="22" fillId="0" borderId="0" numFmtId="49" xfId="0" applyNumberFormat="1" applyFont="1">
      <alignment horizontal="center" vertical="center" wrapText="1"/>
    </xf>
    <xf fontId="84" fillId="0" borderId="0" numFmtId="0" xfId="0" applyFont="1">
      <alignment vertical="center" wrapText="1"/>
    </xf>
    <xf fontId="47" fillId="0" borderId="0" numFmtId="0" xfId="0" applyFont="1">
      <alignment vertical="center" wrapText="1"/>
    </xf>
    <xf fontId="54" fillId="0" borderId="0" numFmtId="0" xfId="0" applyFont="1">
      <alignment vertical="center" wrapText="1"/>
    </xf>
    <xf fontId="31" fillId="0" borderId="0" numFmtId="0" xfId="0" applyFont="1">
      <alignment vertical="center" wrapText="1"/>
    </xf>
    <xf fontId="49" fillId="0" borderId="0" numFmtId="49" xfId="0" applyNumberFormat="1" applyFont="1">
      <alignment horizontal="center" vertical="center"/>
    </xf>
    <xf fontId="22" fillId="0" borderId="0" numFmtId="0" xfId="0" applyFont="1">
      <alignment vertical="center" wrapText="1"/>
    </xf>
    <xf fontId="22" fillId="0" borderId="35" numFmtId="4" xfId="0" applyNumberFormat="1" applyFont="1" applyBorder="1">
      <alignment horizontal="center" vertical="center" wrapText="1"/>
    </xf>
    <xf fontId="22" fillId="39" borderId="35" numFmtId="4" xfId="0" applyNumberFormat="1" applyFont="1" applyFill="1" applyBorder="1">
      <alignment horizontal="right" vertical="center" wrapText="1"/>
      <protection locked="0"/>
    </xf>
    <xf fontId="22" fillId="39" borderId="23" numFmtId="4" xfId="0" applyNumberFormat="1" applyFont="1" applyFill="1" applyBorder="1">
      <alignment horizontal="right" vertical="center" wrapText="1"/>
      <protection locked="0"/>
    </xf>
    <xf fontId="22" fillId="0" borderId="33" numFmtId="49" xfId="0" applyNumberFormat="1" applyFont="1" applyBorder="1">
      <alignment horizontal="center" vertical="center" wrapText="1"/>
    </xf>
    <xf fontId="22" fillId="0" borderId="35" numFmtId="0" xfId="0" applyFont="1" applyBorder="1">
      <alignment horizontal="left" vertical="center" wrapText="1"/>
    </xf>
    <xf fontId="22" fillId="0" borderId="20" numFmtId="0" xfId="0" applyFont="1" applyBorder="1">
      <alignment vertical="center" wrapText="1"/>
    </xf>
    <xf fontId="36" fillId="0" borderId="0" numFmtId="0" xfId="0" applyFont="1">
      <alignment horizontal="center" vertical="center" wrapText="1"/>
    </xf>
    <xf fontId="22" fillId="37" borderId="15" numFmtId="0" xfId="0" applyFont="1" applyFill="1" applyBorder="1">
      <alignment vertical="center" wrapText="1"/>
    </xf>
    <xf fontId="46" fillId="37" borderId="13" numFmtId="0" xfId="0" applyFont="1" applyFill="1" applyBorder="1">
      <alignment vertical="center" wrapText="1"/>
    </xf>
    <xf fontId="22" fillId="34" borderId="12" numFmtId="189" xfId="0" applyNumberFormat="1" applyFont="1" applyFill="1" applyBorder="1">
      <alignment horizontal="right" vertical="center" wrapText="1"/>
    </xf>
    <xf fontId="0" fillId="0" borderId="0" numFmtId="0" xfId="0" applyFont="1">
      <alignment vertical="center"/>
    </xf>
    <xf fontId="22" fillId="36" borderId="12" numFmtId="4" xfId="0" applyNumberFormat="1" applyFont="1" applyFill="1" applyBorder="1">
      <alignment horizontal="right" vertical="center" wrapText="1"/>
      <protection locked="0"/>
    </xf>
    <xf fontId="73" fillId="35" borderId="0" numFmtId="0" xfId="0" applyFont="1" applyFill="1">
      <alignment horizontal="right" vertical="center"/>
    </xf>
    <xf fontId="0" fillId="0" borderId="12" numFmtId="49" xfId="0" applyNumberFormat="1" applyFont="1" applyBorder="1">
      <alignment vertical="top"/>
    </xf>
    <xf fontId="22" fillId="0" borderId="14" numFmtId="0" xfId="0" applyFont="1" applyBorder="1">
      <alignment horizontal="center" vertical="center" wrapText="1"/>
    </xf>
    <xf fontId="0" fillId="16" borderId="12" numFmtId="49" xfId="0" applyNumberFormat="1" applyFont="1" applyFill="1" applyBorder="1">
      <alignment vertical="top"/>
    </xf>
    <xf fontId="0" fillId="16" borderId="17" numFmtId="49" xfId="0" applyNumberFormat="1" applyFont="1" applyFill="1" applyBorder="1">
      <alignment vertical="top"/>
    </xf>
    <xf fontId="0" fillId="43" borderId="17" numFmtId="49" xfId="0" applyNumberFormat="1" applyFont="1" applyFill="1" applyBorder="1">
      <alignment vertical="top"/>
    </xf>
    <xf fontId="22" fillId="0" borderId="0" numFmtId="0" xfId="0" applyFont="1">
      <alignment vertical="center" wrapText="1"/>
    </xf>
    <xf fontId="31" fillId="0" borderId="0" numFmtId="0" xfId="0" applyFont="1">
      <alignment vertical="center" wrapText="1"/>
    </xf>
    <xf fontId="22" fillId="0" borderId="12" numFmtId="0" xfId="0" applyFont="1" applyBorder="1">
      <alignment horizontal="center" vertical="center" wrapText="1"/>
    </xf>
    <xf fontId="22" fillId="0" borderId="12" numFmtId="0" xfId="0" applyFont="1" applyBorder="1">
      <alignment horizontal="center" vertical="center" wrapText="1"/>
    </xf>
    <xf fontId="22" fillId="0" borderId="0" numFmtId="49" xfId="0" applyNumberFormat="1" applyFont="1">
      <alignment vertical="center" wrapText="1"/>
    </xf>
    <xf fontId="22" fillId="0" borderId="0" numFmtId="0" xfId="0" applyFont="1">
      <alignment horizontal="center" vertical="center" wrapText="1"/>
    </xf>
    <xf fontId="0" fillId="0" borderId="14" numFmtId="49" xfId="0" applyNumberFormat="1" applyFont="1" applyBorder="1">
      <alignment vertical="top"/>
    </xf>
    <xf fontId="0" fillId="0" borderId="14" numFmtId="49" xfId="0" applyNumberFormat="1" applyFont="1" applyBorder="1">
      <alignment horizontal="center" vertical="top"/>
    </xf>
    <xf fontId="0" fillId="0" borderId="15" numFmtId="49" xfId="0" applyNumberFormat="1" applyFont="1" applyBorder="1">
      <alignment horizontal="center" vertical="top"/>
    </xf>
    <xf fontId="0" fillId="5" borderId="12" numFmtId="49" xfId="0" applyNumberFormat="1" applyFont="1" applyFill="1" applyBorder="1">
      <alignment vertical="top"/>
    </xf>
    <xf fontId="0" fillId="44" borderId="12" numFmtId="49" xfId="0" applyNumberFormat="1" applyFont="1" applyFill="1" applyBorder="1">
      <alignment vertical="top"/>
    </xf>
    <xf fontId="0" fillId="3" borderId="12" numFmtId="49" xfId="0" applyNumberFormat="1" applyFont="1" applyFill="1" applyBorder="1">
      <alignment vertical="top"/>
    </xf>
    <xf fontId="0" fillId="0" borderId="0" numFmtId="49" xfId="0" applyNumberFormat="1" applyFont="1">
      <alignment vertical="top"/>
    </xf>
    <xf fontId="22" fillId="0" borderId="0" numFmtId="0" xfId="0" applyFont="1">
      <alignment horizontal="center" vertical="center" wrapText="1"/>
    </xf>
    <xf fontId="49" fillId="35" borderId="0" numFmtId="0" xfId="0" applyFont="1" applyFill="1">
      <alignment vertical="center" wrapText="1"/>
    </xf>
    <xf fontId="53" fillId="0" borderId="0" numFmtId="0" xfId="0" applyFont="1">
      <alignment horizontal="left" indent="1" vertical="center"/>
    </xf>
    <xf fontId="0" fillId="35" borderId="0" numFmtId="0" xfId="0" applyFont="1" applyFill="1">
      <alignment horizontal="right" indent="1" vertical="center" wrapText="1"/>
    </xf>
    <xf fontId="0" fillId="35" borderId="0" numFmtId="0" xfId="0" applyFont="1" applyFill="1">
      <alignment horizontal="left" indent="1" vertical="center" wrapText="1"/>
    </xf>
    <xf fontId="22" fillId="35" borderId="0" numFmtId="14" xfId="0" applyNumberFormat="1" applyFont="1" applyFill="1">
      <alignment horizontal="center" vertical="center" wrapText="1"/>
    </xf>
    <xf fontId="22" fillId="0" borderId="14" numFmtId="191" xfId="0" applyNumberFormat="1" applyFont="1" applyBorder="1">
      <alignment horizontal="center" vertical="center" wrapText="1"/>
    </xf>
    <xf fontId="35" fillId="0" borderId="15" numFmtId="49" xfId="0" applyNumberFormat="1" applyFont="1" applyBorder="1">
      <alignment horizontal="center" vertical="center" wrapText="1"/>
    </xf>
    <xf fontId="22" fillId="0" borderId="0" numFmtId="49" xfId="0" applyNumberFormat="1" applyFont="1">
      <alignment horizontal="center" vertical="center" wrapText="1"/>
    </xf>
    <xf fontId="22" fillId="0" borderId="23" numFmtId="0" xfId="0" applyFont="1" applyBorder="1">
      <alignment horizontal="center" vertical="center" wrapText="1"/>
    </xf>
    <xf fontId="0" fillId="45" borderId="12" numFmtId="49" xfId="0" applyNumberFormat="1" applyFont="1" applyFill="1" applyBorder="1">
      <alignment vertical="top"/>
    </xf>
    <xf fontId="36" fillId="0" borderId="0" numFmtId="0" xfId="0" applyFont="1">
      <alignment horizontal="center" vertical="center" wrapText="1"/>
    </xf>
    <xf fontId="91" fillId="0" borderId="0" numFmtId="0" xfId="0" applyFont="1">
      <alignment horizontal="left" vertical="center" wrapText="1"/>
    </xf>
    <xf fontId="91" fillId="0" borderId="0" numFmtId="0" xfId="0" applyFont="1">
      <alignment horizontal="left" vertical="center" wrapText="1"/>
    </xf>
    <xf fontId="91" fillId="35" borderId="0" numFmtId="14" xfId="0" applyNumberFormat="1" applyFont="1" applyFill="1">
      <alignment horizontal="left" vertical="center" wrapText="1"/>
    </xf>
    <xf fontId="92" fillId="0" borderId="0" numFmtId="14" xfId="0" applyNumberFormat="1" applyFont="1">
      <alignment horizontal="center" vertical="center" wrapText="1"/>
    </xf>
    <xf fontId="91" fillId="0" borderId="0" numFmtId="0" xfId="0" applyFont="1">
      <alignment horizontal="left" vertical="center" wrapText="1"/>
    </xf>
    <xf fontId="93" fillId="0" borderId="12" numFmtId="14" xfId="0" applyNumberFormat="1" applyFont="1" applyBorder="1">
      <alignment horizontal="left" vertical="center" wrapText="1"/>
    </xf>
    <xf fontId="47" fillId="0" borderId="0" numFmtId="0" xfId="0" applyFont="1">
      <alignment vertical="center"/>
    </xf>
    <xf fontId="22" fillId="37" borderId="19" numFmtId="49" xfId="0" applyNumberFormat="1" applyFont="1" applyFill="1" applyBorder="1">
      <alignment horizontal="center" vertical="center" wrapText="1"/>
    </xf>
    <xf fontId="22" fillId="34" borderId="23" numFmtId="49" xfId="0" applyNumberFormat="1" applyFont="1" applyFill="1" applyBorder="1">
      <alignment horizontal="center" vertical="center" wrapText="1"/>
    </xf>
    <xf fontId="46" fillId="0" borderId="12" numFmtId="49" xfId="0" applyNumberFormat="1" applyFont="1" applyBorder="1">
      <alignment horizontal="left" vertical="center" wrapText="1"/>
    </xf>
    <xf fontId="22" fillId="40" borderId="23" numFmtId="14" xfId="0" applyNumberFormat="1" applyFont="1" applyFill="1" applyBorder="1">
      <alignment horizontal="left" indent="1" vertical="center" wrapText="1"/>
    </xf>
    <xf fontId="22" fillId="37" borderId="14" numFmtId="49" xfId="0" applyNumberFormat="1" applyFont="1" applyFill="1" applyBorder="1">
      <alignment horizontal="right" vertical="center" wrapText="1"/>
    </xf>
    <xf fontId="47" fillId="0" borderId="23" numFmtId="0" xfId="0" applyFont="1" applyBorder="1">
      <alignment horizontal="center" vertical="center" wrapText="1"/>
    </xf>
    <xf fontId="22" fillId="0" borderId="13" numFmtId="49" xfId="0" applyNumberFormat="1" applyFont="1" applyBorder="1">
      <alignment horizontal="center" vertical="top"/>
    </xf>
    <xf fontId="22" fillId="0" borderId="12" numFmtId="49" xfId="0" applyNumberFormat="1" applyFont="1" applyBorder="1">
      <alignment horizontal="center" vertical="top"/>
    </xf>
    <xf fontId="22" fillId="0" borderId="23" numFmtId="0" xfId="0" applyFont="1" applyBorder="1">
      <alignment horizontal="center" vertical="center" wrapText="1"/>
    </xf>
    <xf fontId="22" fillId="0" borderId="14" numFmtId="49" xfId="0" applyNumberFormat="1" applyFont="1" applyBorder="1">
      <alignment horizontal="center" vertical="top"/>
    </xf>
    <xf fontId="35" fillId="0" borderId="24" numFmtId="0" xfId="0" applyFont="1" applyBorder="1">
      <alignment vertical="top" wrapText="1"/>
    </xf>
    <xf fontId="35" fillId="0" borderId="0" numFmtId="0" xfId="0" applyFont="1">
      <alignment vertical="top" wrapText="1"/>
    </xf>
    <xf fontId="47" fillId="0" borderId="12" numFmtId="0" xfId="0" applyFont="1" applyBorder="1">
      <alignment horizontal="center" vertical="center" wrapText="1"/>
    </xf>
    <xf fontId="46" fillId="0" borderId="23" numFmtId="0" xfId="0" applyFont="1" applyBorder="1">
      <alignment horizontal="center" vertical="center" wrapText="1"/>
    </xf>
    <xf fontId="47" fillId="0" borderId="12" numFmtId="0" xfId="0" applyFont="1" applyBorder="1">
      <alignment horizontal="center" vertical="center"/>
    </xf>
    <xf fontId="22" fillId="0" borderId="12" numFmtId="0" xfId="0" applyFont="1" applyBorder="1">
      <alignment horizontal="center" vertical="center" wrapText="1"/>
    </xf>
    <xf fontId="22" fillId="0" borderId="0" numFmtId="49" xfId="0" applyNumberFormat="1" applyFont="1">
      <alignment horizontal="center" vertical="center" wrapText="1"/>
    </xf>
    <xf fontId="22" fillId="0" borderId="12" numFmtId="0" xfId="0" applyFont="1" applyBorder="1">
      <alignment horizontal="center" vertical="center" wrapText="1"/>
    </xf>
    <xf fontId="22" fillId="0" borderId="14" numFmtId="0" xfId="0" applyFont="1" applyBorder="1">
      <alignment horizontal="center" vertical="center" wrapText="1"/>
    </xf>
    <xf fontId="22" fillId="0" borderId="12" numFmtId="0" xfId="0" applyFont="1" applyBorder="1">
      <alignment horizontal="center" vertical="center" wrapText="1"/>
    </xf>
    <xf fontId="22" fillId="0" borderId="17" numFmtId="0" xfId="0" applyFont="1" applyBorder="1">
      <alignment horizontal="center" vertical="center" wrapText="1"/>
    </xf>
    <xf fontId="75" fillId="39" borderId="12" numFmtId="49" xfId="0" applyNumberFormat="1" applyFont="1" applyFill="1" applyBorder="1">
      <alignment horizontal="left" indent="1" vertical="center" wrapText="1"/>
      <protection locked="0"/>
    </xf>
    <xf fontId="46" fillId="0" borderId="22" numFmtId="0" xfId="0" applyFont="1" applyBorder="1">
      <alignment vertical="center"/>
    </xf>
    <xf fontId="22" fillId="0" borderId="13" numFmtId="0" xfId="0" applyFont="1" applyBorder="1">
      <alignment horizontal="center" vertical="center" wrapText="1"/>
    </xf>
    <xf fontId="22" fillId="40" borderId="12" numFmtId="49" xfId="0" applyNumberFormat="1" applyFont="1" applyFill="1" applyBorder="1">
      <alignment horizontal="center" vertical="center" wrapText="1"/>
    </xf>
    <xf fontId="22" fillId="0" borderId="12" numFmtId="0" xfId="0" applyFont="1" applyBorder="1">
      <alignment horizontal="center" vertical="center" wrapText="1"/>
    </xf>
    <xf fontId="22" fillId="34" borderId="14" numFmtId="0" xfId="0" applyFont="1" applyFill="1" applyBorder="1">
      <alignment horizontal="left" indent="1" vertical="top" wrapText="1"/>
    </xf>
    <xf fontId="22" fillId="36" borderId="14" numFmtId="3" xfId="0" applyNumberFormat="1" applyFont="1" applyFill="1" applyBorder="1">
      <alignment horizontal="right" vertical="center" wrapText="1"/>
      <protection locked="0"/>
    </xf>
    <xf fontId="53" fillId="36" borderId="12" numFmtId="49" xfId="0" applyNumberFormat="1" applyFont="1" applyFill="1" applyBorder="1">
      <alignment horizontal="left" vertical="center" wrapText="1"/>
      <protection locked="0"/>
    </xf>
    <xf fontId="53" fillId="0" borderId="0" numFmtId="0" xfId="0" applyFont="1">
      <alignment vertical="center" wrapText="1"/>
    </xf>
    <xf fontId="22" fillId="0" borderId="13" numFmtId="0" xfId="0" applyFont="1" applyBorder="1">
      <alignment horizontal="center" vertical="center" wrapText="1"/>
    </xf>
    <xf fontId="22" fillId="0" borderId="12" numFmtId="0" xfId="0" applyFont="1" applyBorder="1">
      <alignment horizontal="center" vertical="center" wrapText="1"/>
    </xf>
    <xf fontId="36" fillId="35" borderId="0" numFmtId="0" xfId="0" applyFont="1" applyFill="1">
      <alignment horizontal="center" vertical="center" wrapText="1"/>
    </xf>
    <xf fontId="22" fillId="35" borderId="12" numFmtId="0" xfId="0" applyFont="1" applyFill="1" applyBorder="1">
      <alignment horizontal="center" vertical="center" wrapText="1"/>
    </xf>
    <xf fontId="0" fillId="0" borderId="20" numFmtId="0" xfId="0" applyFont="1" applyBorder="1">
      <alignment horizontal="center" vertical="center" wrapText="1"/>
    </xf>
    <xf fontId="0" fillId="0" borderId="29" numFmtId="0" xfId="0" applyFont="1" applyBorder="1">
      <alignment horizontal="center" vertical="center" wrapText="1"/>
    </xf>
    <xf fontId="0" fillId="0" borderId="17" numFmtId="0" xfId="0" applyFont="1" applyBorder="1">
      <alignment horizontal="center" vertical="center" wrapText="1"/>
    </xf>
    <xf fontId="0" fillId="0" borderId="23" numFmtId="0" xfId="0" applyFont="1" applyBorder="1">
      <alignment horizontal="center" vertical="center" wrapText="1"/>
    </xf>
    <xf fontId="0" fillId="0" borderId="17" numFmtId="0" xfId="0" applyFont="1" applyBorder="1">
      <alignment horizontal="center" vertical="center" wrapText="1"/>
    </xf>
    <xf fontId="0" fillId="0" borderId="23" numFmtId="0" xfId="0" applyFont="1" applyBorder="1">
      <alignment horizontal="center" vertical="center" wrapText="1"/>
    </xf>
    <xf fontId="35" fillId="35" borderId="15" numFmtId="49" xfId="0" applyNumberFormat="1" applyFont="1" applyFill="1" applyBorder="1">
      <alignment horizontal="center" vertical="center" wrapText="1"/>
    </xf>
    <xf fontId="22" fillId="0" borderId="0" numFmtId="0" xfId="0" applyFont="1">
      <alignment horizontal="left" indent="1" vertical="center" wrapText="1"/>
    </xf>
    <xf fontId="81" fillId="0" borderId="17" numFmtId="0" xfId="0" applyFont="1" applyBorder="1">
      <alignment horizontal="center" vertical="center" wrapText="1"/>
    </xf>
    <xf fontId="46" fillId="0" borderId="0" numFmtId="49" xfId="0" applyNumberFormat="1" applyFont="1">
      <alignment vertical="top"/>
    </xf>
    <xf fontId="94" fillId="0" borderId="0" numFmtId="0" xfId="0" applyFont="1">
      <alignment vertical="center" wrapText="1"/>
    </xf>
    <xf fontId="0" fillId="0" borderId="0" numFmtId="0" xfId="0" applyFont="1">
      <alignment vertical="top"/>
    </xf>
    <xf fontId="0" fillId="0" borderId="12" numFmtId="49" xfId="0" applyNumberFormat="1" applyFont="1" applyBorder="1">
      <alignment vertical="top"/>
    </xf>
    <xf fontId="22" fillId="0" borderId="0" numFmtId="49" xfId="0" applyNumberFormat="1" applyFont="1">
      <alignment vertical="top"/>
    </xf>
    <xf fontId="22" fillId="0" borderId="12" numFmtId="0" xfId="0" applyFont="1" applyBorder="1">
      <alignment horizontal="left" vertical="top" wrapText="1"/>
    </xf>
    <xf fontId="95" fillId="0" borderId="0" numFmtId="49" xfId="0" applyNumberFormat="1" applyFont="1">
      <alignment horizontal="center" vertical="top" wrapText="1"/>
    </xf>
    <xf fontId="95" fillId="0" borderId="0" numFmtId="49" xfId="0" applyNumberFormat="1" applyFont="1">
      <alignment vertical="top" wrapText="1"/>
    </xf>
    <xf fontId="91" fillId="41" borderId="12" numFmtId="49" xfId="0" applyNumberFormat="1" applyFont="1" applyFill="1" applyBorder="1">
      <alignment horizontal="center" vertical="top" wrapText="1"/>
    </xf>
    <xf fontId="95" fillId="0" borderId="0" numFmtId="49" xfId="0" applyNumberFormat="1" applyFont="1">
      <alignment horizontal="left" vertical="top" wrapText="1"/>
    </xf>
    <xf fontId="95" fillId="0" borderId="12" numFmtId="49" xfId="0" applyNumberFormat="1" applyFont="1" applyBorder="1">
      <alignment horizontal="left" vertical="top" wrapText="1"/>
    </xf>
    <xf fontId="95" fillId="0" borderId="12" numFmtId="0" xfId="0" applyFont="1" applyBorder="1">
      <alignment horizontal="left" vertical="top" wrapText="1"/>
    </xf>
    <xf fontId="95" fillId="41" borderId="12" numFmtId="0" xfId="0" applyFont="1" applyFill="1" applyBorder="1">
      <alignment horizontal="right" vertical="center" wrapText="1"/>
    </xf>
    <xf fontId="95" fillId="0" borderId="12" numFmtId="49" xfId="0" applyNumberFormat="1" applyFont="1" applyBorder="1">
      <alignment vertical="top" wrapText="1"/>
    </xf>
    <xf fontId="95" fillId="0" borderId="17" numFmtId="0" xfId="0" applyFont="1" applyBorder="1">
      <alignment horizontal="left" vertical="top" wrapText="1"/>
    </xf>
    <xf fontId="95" fillId="0" borderId="13" numFmtId="0" xfId="0" applyFont="1" applyBorder="1">
      <alignment horizontal="left" vertical="top" wrapText="1"/>
    </xf>
    <xf fontId="95" fillId="0" borderId="12" numFmtId="0" xfId="0" applyFont="1" applyBorder="1">
      <alignment vertical="top" wrapText="1"/>
    </xf>
    <xf fontId="91" fillId="41" borderId="12" numFmtId="0" xfId="0" applyFont="1" applyFill="1" applyBorder="1">
      <alignment horizontal="center" vertical="top" wrapText="1"/>
    </xf>
    <xf fontId="95" fillId="0" borderId="0" numFmtId="0" xfId="0" applyFont="1">
      <alignment vertical="top" wrapText="1"/>
    </xf>
    <xf fontId="90" fillId="0" borderId="0" numFmtId="0" xfId="0" applyFont="1">
      <alignment vertical="center" wrapText="1"/>
    </xf>
    <xf fontId="45" fillId="0" borderId="0" numFmtId="0" xfId="0" applyFont="1">
      <alignment horizontal="left" indent="3" vertical="center" wrapText="1"/>
    </xf>
    <xf fontId="0" fillId="0" borderId="13" numFmtId="3" xfId="0" applyNumberFormat="1" applyFont="1" applyBorder="1">
      <alignment horizontal="right" vertical="center" wrapText="1"/>
    </xf>
    <xf fontId="22" fillId="40" borderId="14" numFmtId="0" xfId="0" applyFont="1" applyFill="1" applyBorder="1">
      <alignment horizontal="left" vertical="center" wrapText="1"/>
    </xf>
    <xf fontId="35" fillId="35" borderId="12" numFmtId="49" xfId="0" applyNumberFormat="1" applyFont="1" applyFill="1" applyBorder="1">
      <alignment horizontal="center" vertical="center" wrapText="1"/>
    </xf>
    <xf fontId="73" fillId="37" borderId="13" numFmtId="49" xfId="0" applyNumberFormat="1" applyFont="1" applyFill="1" applyBorder="1">
      <alignment vertical="center"/>
    </xf>
    <xf fontId="22" fillId="35" borderId="0" numFmtId="49" xfId="0" applyNumberFormat="1" applyFont="1" applyFill="1">
      <alignment horizontal="center" vertical="center" wrapText="1"/>
    </xf>
    <xf fontId="22" fillId="35" borderId="0" numFmtId="0" xfId="0" applyFont="1" applyFill="1">
      <alignment horizontal="center" vertical="top" wrapText="1"/>
    </xf>
    <xf fontId="0" fillId="39" borderId="12" numFmtId="49" xfId="0" applyNumberFormat="1" applyFont="1" applyFill="1" applyBorder="1">
      <alignment horizontal="left" indent="1" vertical="center" wrapText="1"/>
      <protection locked="0"/>
    </xf>
    <xf fontId="22" fillId="39" borderId="14" numFmtId="49" xfId="0" applyNumberFormat="1" applyFont="1" applyFill="1" applyBorder="1">
      <alignment horizontal="left" vertical="center" wrapText="1"/>
      <protection locked="0"/>
    </xf>
    <xf fontId="22" fillId="39" borderId="12" numFmtId="49" xfId="0" applyNumberFormat="1" applyFont="1" applyFill="1" applyBorder="1" quotePrefix="1">
      <alignment horizontal="left" vertical="center" wrapText="1"/>
      <protection locked="0"/>
    </xf>
    <xf fontId="22" fillId="40" borderId="23" numFmtId="14" xfId="0" applyNumberFormat="1" applyFont="1" applyFill="1" applyBorder="1">
      <alignment horizontal="left" vertical="center" wrapText="1"/>
    </xf>
    <xf fontId="47" fillId="35" borderId="23" numFmtId="0" xfId="0" applyFont="1" applyFill="1" applyBorder="1">
      <alignment horizontal="center" vertical="center" wrapText="1"/>
    </xf>
    <xf fontId="36" fillId="35" borderId="24" numFmtId="0" xfId="0" applyFont="1" applyFill="1" applyBorder="1">
      <alignment vertical="top" wrapText="1"/>
    </xf>
    <xf fontId="36" fillId="35" borderId="0" numFmtId="0" xfId="0" applyFont="1" applyFill="1">
      <alignment vertical="top" wrapText="1"/>
    </xf>
    <xf fontId="22" fillId="40" borderId="29" numFmtId="14" xfId="0" applyNumberFormat="1" applyFont="1" applyFill="1" applyBorder="1">
      <alignment horizontal="left" vertical="center" wrapText="1"/>
    </xf>
    <xf fontId="47" fillId="35" borderId="12" numFmtId="0" xfId="0" applyFont="1" applyFill="1" applyBorder="1">
      <alignment horizontal="center" vertical="center" wrapText="1"/>
    </xf>
    <xf fontId="39" fillId="37" borderId="15" numFmtId="0" xfId="0" applyFont="1" applyFill="1" applyBorder="1">
      <alignment vertical="center"/>
    </xf>
    <xf fontId="48" fillId="0" borderId="0" numFmtId="0" xfId="0" applyFont="1">
      <alignment vertical="center"/>
    </xf>
    <xf fontId="47" fillId="0" borderId="0" numFmtId="0" xfId="0" applyFont="1">
      <alignment vertical="center" wrapText="1"/>
    </xf>
    <xf fontId="46" fillId="0" borderId="0" numFmtId="49" xfId="0" applyNumberFormat="1" applyFont="1">
      <alignment vertical="center" wrapText="1"/>
    </xf>
    <xf fontId="46" fillId="0" borderId="0" numFmtId="49" xfId="0" applyNumberFormat="1" applyFont="1">
      <alignment vertical="top"/>
    </xf>
    <xf fontId="88" fillId="0" borderId="0" numFmtId="0" xfId="0" applyFont="1">
      <alignment vertical="center" wrapText="1"/>
    </xf>
    <xf fontId="96" fillId="0" borderId="0" numFmtId="0" xfId="0" applyFont="1">
      <alignment vertical="center" wrapText="1"/>
    </xf>
    <xf fontId="46" fillId="0" borderId="0" numFmtId="0" xfId="0" applyFont="1">
      <alignment vertical="center" wrapText="1"/>
    </xf>
    <xf fontId="88" fillId="0" borderId="0" numFmtId="0" xfId="0" applyFont="1">
      <alignment horizontal="center" vertical="center" wrapText="1"/>
    </xf>
    <xf fontId="46" fillId="0" borderId="0" numFmtId="0" xfId="0" applyFont="1">
      <alignment vertical="center" wrapText="1"/>
    </xf>
    <xf fontId="22" fillId="35" borderId="0" numFmtId="14" xfId="0" applyNumberFormat="1" applyFont="1" applyFill="1">
      <alignment horizontal="left" vertical="center" wrapText="1"/>
    </xf>
    <xf fontId="0" fillId="5" borderId="14" numFmtId="49" xfId="0" applyNumberFormat="1" applyFont="1" applyFill="1" applyBorder="1">
      <alignment vertical="top"/>
    </xf>
    <xf fontId="0" fillId="0" borderId="12" numFmtId="49" xfId="0" applyNumberFormat="1" applyFont="1" applyBorder="1">
      <alignment horizontal="left" vertical="center" wrapText="1"/>
    </xf>
    <xf fontId="22" fillId="0" borderId="0" numFmtId="49" xfId="0" applyNumberFormat="1" applyFont="1">
      <alignment vertical="center" wrapText="1"/>
    </xf>
    <xf fontId="0" fillId="0" borderId="12" numFmtId="0" xfId="0" applyFont="1" applyBorder="1">
      <alignment horizontal="left" indent="1" vertical="center" wrapText="1"/>
    </xf>
    <xf fontId="0" fillId="35" borderId="12" numFmtId="49" xfId="0" applyNumberFormat="1" applyFont="1" applyFill="1" applyBorder="1">
      <alignment horizontal="center" vertical="center" wrapText="1"/>
    </xf>
    <xf fontId="0" fillId="35" borderId="12" numFmtId="0" xfId="0" applyFont="1" applyFill="1" applyBorder="1">
      <alignment horizontal="center" vertical="center" wrapText="1"/>
    </xf>
    <xf fontId="0" fillId="39" borderId="14" numFmtId="0" xfId="0" applyFont="1" applyFill="1" applyBorder="1">
      <alignment horizontal="left" indent="2" vertical="center" wrapText="1"/>
      <protection locked="0"/>
    </xf>
    <xf fontId="22" fillId="0" borderId="15" numFmtId="0" xfId="0" applyFont="1" applyBorder="1">
      <alignment horizontal="right" indent="1" vertical="center" wrapText="1"/>
    </xf>
    <xf fontId="22" fillId="0" borderId="13" numFmtId="0" xfId="0" applyFont="1" applyBorder="1">
      <alignment horizontal="right" indent="1" vertical="center" wrapText="1"/>
    </xf>
    <xf fontId="97" fillId="35" borderId="0" numFmtId="0" xfId="0" applyFont="1" applyFill="1">
      <alignment horizontal="right" vertical="center"/>
    </xf>
    <xf fontId="95" fillId="0" borderId="13" numFmtId="49" xfId="0" applyNumberFormat="1" applyFont="1" applyBorder="1">
      <alignment horizontal="left" vertical="top" wrapText="1"/>
    </xf>
    <xf fontId="95" fillId="0" borderId="14" numFmtId="49" xfId="0" applyNumberFormat="1" applyFont="1" applyBorder="1">
      <alignment horizontal="left" vertical="top" wrapText="1"/>
    </xf>
    <xf fontId="95" fillId="0" borderId="17" numFmtId="0" xfId="0" applyFont="1" applyBorder="1">
      <alignment vertical="top" wrapText="1"/>
    </xf>
    <xf fontId="95" fillId="0" borderId="36" numFmtId="0" xfId="0" applyFont="1" applyBorder="1">
      <alignment horizontal="left" vertical="top" wrapText="1"/>
    </xf>
    <xf fontId="95" fillId="0" borderId="30" numFmtId="49" xfId="0" applyNumberFormat="1" applyFont="1" applyBorder="1">
      <alignment horizontal="left" vertical="top" wrapText="1"/>
    </xf>
    <xf fontId="46" fillId="0" borderId="0" numFmtId="49" xfId="0" applyNumberFormat="1" applyFont="1">
      <alignment horizontal="center" vertical="center" wrapText="1"/>
    </xf>
    <xf fontId="47" fillId="0" borderId="0" numFmtId="49" xfId="0" applyNumberFormat="1" applyFont="1">
      <alignment horizontal="center" vertical="center" wrapText="1"/>
    </xf>
    <xf fontId="22" fillId="0" borderId="12" numFmtId="0" xfId="0" applyFont="1" applyBorder="1">
      <alignment horizontal="left" vertical="center" wrapText="1"/>
    </xf>
    <xf fontId="95" fillId="0" borderId="12" numFmtId="49" xfId="0" applyNumberFormat="1" applyFont="1" applyBorder="1">
      <alignment horizontal="center" vertical="top" wrapText="1"/>
    </xf>
    <xf fontId="95" fillId="41" borderId="12" numFmtId="0" xfId="0" applyFont="1" applyFill="1" applyBorder="1">
      <alignment horizontal="center" vertical="center" wrapText="1"/>
    </xf>
    <xf fontId="95" fillId="0" borderId="37" numFmtId="49" xfId="0" applyNumberFormat="1" applyFont="1" applyBorder="1">
      <alignment horizontal="center" vertical="top" wrapText="1"/>
    </xf>
    <xf fontId="95" fillId="0" borderId="17" numFmtId="49" xfId="0" applyNumberFormat="1" applyFont="1" applyBorder="1">
      <alignment horizontal="center" vertical="top" wrapText="1"/>
    </xf>
    <xf fontId="39" fillId="37" borderId="14" numFmtId="49" xfId="0" applyNumberFormat="1" applyFont="1" applyFill="1" applyBorder="1">
      <alignment horizontal="left" indent="1" vertical="center"/>
    </xf>
    <xf fontId="0" fillId="35" borderId="17" numFmtId="0" xfId="0" applyFont="1" applyFill="1" applyBorder="1">
      <alignment horizontal="center" vertical="center" wrapText="1"/>
    </xf>
    <xf fontId="22" fillId="35" borderId="17" numFmtId="0" xfId="0" applyFont="1" applyFill="1" applyBorder="1">
      <alignment horizontal="center" vertical="center" wrapText="1"/>
    </xf>
    <xf fontId="98" fillId="0" borderId="0" numFmtId="49" xfId="0" applyNumberFormat="1" applyFont="1">
      <alignment horizontal="center" vertical="center" wrapText="1"/>
    </xf>
    <xf fontId="22" fillId="0" borderId="0" numFmtId="0" xfId="0" applyFont="1">
      <alignment vertical="center" wrapText="1"/>
    </xf>
    <xf fontId="22" fillId="0" borderId="0" numFmtId="49" xfId="0" applyNumberFormat="1" applyFont="1">
      <alignment vertical="top"/>
    </xf>
    <xf fontId="22" fillId="35" borderId="0" numFmtId="0" xfId="0" applyFont="1" applyFill="1">
      <alignment vertical="center" wrapText="1"/>
    </xf>
    <xf fontId="22" fillId="0" borderId="38" numFmtId="0" xfId="0" applyFont="1" applyBorder="1">
      <alignment vertical="center" wrapText="1"/>
    </xf>
    <xf fontId="46" fillId="0" borderId="0" numFmtId="0" xfId="0" applyFont="1">
      <alignment vertical="center" wrapText="1"/>
    </xf>
    <xf fontId="22" fillId="0" borderId="0" numFmtId="49" xfId="0" applyNumberFormat="1" applyFont="1">
      <alignment vertical="top"/>
    </xf>
    <xf fontId="22" fillId="35" borderId="0" numFmtId="0" xfId="0" applyFont="1" applyFill="1">
      <alignment vertical="center" wrapText="1"/>
    </xf>
    <xf fontId="22" fillId="0" borderId="0" numFmtId="49" xfId="0" applyNumberFormat="1" applyFont="1">
      <alignment vertical="top"/>
    </xf>
    <xf fontId="22" fillId="0" borderId="0" numFmtId="0" xfId="0" applyFont="1">
      <alignment vertical="center"/>
    </xf>
    <xf fontId="0" fillId="35" borderId="17" numFmtId="0" xfId="0" applyFont="1" applyFill="1" applyBorder="1">
      <alignment horizontal="center" vertical="center" wrapText="1"/>
    </xf>
    <xf fontId="0" fillId="35" borderId="37" numFmtId="0" xfId="0" applyFont="1" applyFill="1" applyBorder="1">
      <alignment horizontal="center" vertical="center" wrapText="1"/>
    </xf>
    <xf fontId="22" fillId="37" borderId="29" numFmtId="0" xfId="0" applyFont="1" applyFill="1" applyBorder="1">
      <alignment vertical="center" wrapText="1"/>
    </xf>
    <xf fontId="22" fillId="0" borderId="0" numFmtId="0" xfId="0" applyFont="1">
      <alignment vertical="center" wrapText="1"/>
    </xf>
    <xf fontId="22" fillId="35" borderId="39" numFmtId="0" xfId="0" applyFont="1" applyFill="1" applyBorder="1">
      <alignment vertical="center" wrapText="1"/>
    </xf>
    <xf fontId="49" fillId="35" borderId="39" numFmtId="0" xfId="0" applyFont="1" applyFill="1" applyBorder="1">
      <alignment horizontal="center" wrapText="1"/>
    </xf>
    <xf fontId="73" fillId="0" borderId="39" numFmtId="49" xfId="0" applyNumberFormat="1" applyFont="1" applyBorder="1">
      <alignment vertical="top"/>
    </xf>
    <xf fontId="44" fillId="0" borderId="0" numFmtId="49" xfId="0" applyNumberFormat="1" applyFont="1">
      <alignment vertical="center"/>
    </xf>
    <xf fontId="99" fillId="0" borderId="0" numFmtId="49" xfId="0" applyNumberFormat="1" applyFont="1">
      <alignment vertical="center"/>
    </xf>
    <xf fontId="44" fillId="0" borderId="0" numFmtId="49" xfId="0" applyNumberFormat="1" applyFont="1">
      <alignment vertical="center"/>
    </xf>
    <xf fontId="44" fillId="0" borderId="0" numFmtId="49" xfId="0" applyNumberFormat="1" applyFont="1">
      <alignment vertical="center"/>
    </xf>
    <xf fontId="44" fillId="0" borderId="0" numFmtId="49" xfId="0" applyNumberFormat="1" applyFont="1">
      <alignment vertical="center" wrapText="1"/>
    </xf>
    <xf fontId="99" fillId="0" borderId="0" numFmtId="49" xfId="0" applyNumberFormat="1" applyFont="1">
      <alignment vertical="center" wrapText="1"/>
    </xf>
    <xf fontId="44" fillId="0" borderId="0" numFmtId="49" xfId="0" applyNumberFormat="1" applyFont="1">
      <alignment vertical="center" wrapText="1"/>
    </xf>
    <xf fontId="44" fillId="0" borderId="0" numFmtId="49" xfId="0" applyNumberFormat="1" applyFont="1">
      <alignment vertical="top"/>
    </xf>
    <xf fontId="44" fillId="0" borderId="0" numFmtId="49" xfId="0" applyNumberFormat="1" applyFont="1">
      <alignment vertical="center" wrapText="1"/>
    </xf>
    <xf fontId="44" fillId="0" borderId="0" numFmtId="49" xfId="0" applyNumberFormat="1" applyFont="1">
      <alignment horizontal="center" vertical="center" wrapText="1"/>
    </xf>
    <xf fontId="99" fillId="0" borderId="0" numFmtId="49" xfId="0" applyNumberFormat="1" applyFont="1">
      <alignment horizontal="center" vertical="center" wrapText="1"/>
    </xf>
    <xf fontId="44" fillId="0" borderId="0" numFmtId="49" xfId="0" applyNumberFormat="1" applyFont="1">
      <alignment horizontal="center" vertical="center" wrapText="1"/>
    </xf>
    <xf fontId="99" fillId="0" borderId="0" numFmtId="49" xfId="0" applyNumberFormat="1" applyFont="1">
      <alignment horizontal="center" vertical="center" wrapText="1"/>
    </xf>
    <xf fontId="44" fillId="0" borderId="0" numFmtId="0" xfId="0" applyFont="1">
      <alignment horizontal="center" vertical="center" wrapText="1"/>
    </xf>
    <xf fontId="99" fillId="0" borderId="0" numFmtId="49" xfId="0" applyNumberFormat="1" applyFont="1">
      <alignment vertical="center" wrapText="1"/>
    </xf>
    <xf fontId="44" fillId="35" borderId="0" numFmtId="49" xfId="0" applyNumberFormat="1" applyFont="1" applyFill="1">
      <alignment vertical="center" wrapText="1"/>
    </xf>
    <xf fontId="44" fillId="0" borderId="0" numFmtId="49" xfId="0" applyNumberFormat="1" applyFont="1">
      <alignment vertical="top"/>
    </xf>
    <xf fontId="44" fillId="35" borderId="0" numFmtId="49" xfId="0" applyNumberFormat="1" applyFont="1" applyFill="1">
      <alignment vertical="center"/>
    </xf>
    <xf fontId="99" fillId="0" borderId="0" numFmtId="49" xfId="0" applyNumberFormat="1" applyFont="1">
      <alignment vertical="center"/>
    </xf>
    <xf fontId="44" fillId="0" borderId="0" numFmtId="49" xfId="0" applyNumberFormat="1" applyFont="1">
      <alignment vertical="top"/>
    </xf>
    <xf fontId="44" fillId="35" borderId="0" numFmtId="4" xfId="0" applyNumberFormat="1" applyFont="1" applyFill="1">
      <alignment vertical="center"/>
    </xf>
    <xf fontId="31" fillId="0" borderId="0" numFmtId="49" xfId="0" applyNumberFormat="1" applyFont="1">
      <alignment horizontal="center" vertical="center" wrapText="1"/>
    </xf>
    <xf fontId="22" fillId="0" borderId="0" numFmtId="49" xfId="0" applyNumberFormat="1" applyFont="1">
      <alignment horizontal="center" vertical="center" wrapText="1"/>
    </xf>
    <xf fontId="22" fillId="35" borderId="0" numFmtId="49" xfId="0" applyNumberFormat="1" applyFont="1" applyFill="1">
      <alignment horizontal="center" vertical="center" wrapText="1"/>
    </xf>
    <xf fontId="47" fillId="0" borderId="13" numFmtId="49" xfId="0" applyNumberFormat="1" applyFont="1" applyBorder="1">
      <alignment horizontal="left" indent="1" vertical="center"/>
    </xf>
    <xf fontId="22" fillId="0" borderId="24" numFmtId="0" xfId="0" applyFont="1" applyBorder="1">
      <alignment vertical="top" wrapText="1"/>
    </xf>
    <xf fontId="22" fillId="0" borderId="14" numFmtId="0" xfId="0" applyFont="1" applyBorder="1">
      <alignment horizontal="center" vertical="center" wrapText="1"/>
    </xf>
    <xf fontId="22" fillId="0" borderId="17" numFmtId="0" xfId="0" applyFont="1" applyBorder="1">
      <alignment horizontal="center" vertical="center" wrapText="1"/>
    </xf>
    <xf fontId="22" fillId="0" borderId="12" numFmtId="0" xfId="0" applyFont="1" applyBorder="1">
      <alignment horizontal="center" vertical="center" wrapText="1"/>
    </xf>
    <xf fontId="46" fillId="0" borderId="0" numFmtId="49" xfId="0" applyNumberFormat="1" applyFont="1">
      <alignment horizontal="center" vertical="center" wrapText="1"/>
    </xf>
    <xf fontId="47" fillId="0" borderId="0" numFmtId="49" xfId="0" applyNumberFormat="1" applyFont="1">
      <alignment horizontal="center" vertical="center" wrapText="1"/>
    </xf>
    <xf fontId="22" fillId="0" borderId="12" numFmtId="49" xfId="0" applyNumberFormat="1" applyFont="1" applyBorder="1">
      <alignment horizontal="center" vertical="center" wrapText="1"/>
    </xf>
    <xf fontId="22" fillId="0" borderId="12" numFmtId="0" xfId="0" applyFont="1" applyBorder="1">
      <alignment horizontal="left" indent="1" vertical="center" wrapText="1"/>
    </xf>
    <xf fontId="22" fillId="39" borderId="12" numFmtId="49" xfId="0" applyNumberFormat="1" applyFont="1" applyFill="1" applyBorder="1">
      <alignment horizontal="left" vertical="center" wrapText="1"/>
      <protection locked="0"/>
    </xf>
    <xf fontId="36" fillId="0" borderId="0" numFmtId="0" xfId="0" applyFont="1">
      <alignment horizontal="center" vertical="center" wrapText="1"/>
    </xf>
    <xf fontId="91" fillId="0" borderId="12" numFmtId="49" xfId="0" applyNumberFormat="1" applyFont="1" applyBorder="1">
      <alignment horizontal="center" vertical="center" wrapText="1"/>
    </xf>
    <xf fontId="91" fillId="0" borderId="12" numFmtId="0" xfId="0" applyFont="1" applyBorder="1">
      <alignment horizontal="center" vertical="center" wrapText="1"/>
    </xf>
    <xf fontId="91" fillId="0" borderId="17" numFmtId="49" xfId="0" applyNumberFormat="1" applyFont="1" applyBorder="1">
      <alignment horizontal="center" vertical="center" wrapText="1"/>
    </xf>
    <xf fontId="91" fillId="0" borderId="23" numFmtId="49" xfId="0" applyNumberFormat="1" applyFont="1" applyBorder="1">
      <alignment horizontal="center" vertical="center" wrapText="1"/>
    </xf>
    <xf fontId="91" fillId="0" borderId="17" numFmtId="0" xfId="0" applyFont="1" applyBorder="1">
      <alignment horizontal="center" vertical="center" wrapText="1"/>
    </xf>
    <xf fontId="95" fillId="0" borderId="22" numFmtId="49" xfId="0" applyNumberFormat="1" applyFont="1" applyBorder="1">
      <alignment horizontal="center" vertical="top" wrapText="1"/>
    </xf>
    <xf fontId="95" fillId="0" borderId="36" numFmtId="49" xfId="0" applyNumberFormat="1" applyFont="1" applyBorder="1">
      <alignment horizontal="left" vertical="top" wrapText="1"/>
    </xf>
    <xf fontId="91" fillId="0" borderId="12" numFmtId="0" xfId="0" applyFont="1" applyBorder="1">
      <alignment vertical="center" wrapText="1"/>
    </xf>
    <xf fontId="91" fillId="0" borderId="17" numFmtId="0" xfId="0" applyFont="1" applyBorder="1">
      <alignment vertical="center" wrapText="1"/>
    </xf>
    <xf fontId="91" fillId="0" borderId="23" numFmtId="0" xfId="0" applyFont="1" applyBorder="1">
      <alignment vertical="center" wrapText="1"/>
    </xf>
    <xf fontId="91" fillId="0" borderId="12" numFmtId="49" xfId="0" applyNumberFormat="1" applyFont="1" applyBorder="1">
      <alignment horizontal="left" vertical="top" wrapText="1"/>
    </xf>
    <xf fontId="22" fillId="39" borderId="17" numFmtId="189" xfId="0" applyNumberFormat="1" applyFont="1" applyFill="1" applyBorder="1">
      <alignment horizontal="right" vertical="center" wrapText="1"/>
      <protection locked="0"/>
    </xf>
    <xf fontId="22" fillId="0" borderId="13" numFmtId="0" xfId="0" applyFont="1" applyBorder="1">
      <alignment horizontal="center" vertical="center" wrapText="1"/>
    </xf>
    <xf fontId="22" fillId="0" borderId="20" numFmtId="0" xfId="0" applyFont="1" applyBorder="1">
      <alignment horizontal="center" vertical="center" wrapText="1"/>
    </xf>
    <xf fontId="22" fillId="37" borderId="37" numFmtId="49" xfId="0" applyNumberFormat="1" applyFont="1" applyFill="1" applyBorder="1">
      <alignment vertical="center" wrapText="1"/>
    </xf>
    <xf fontId="39" fillId="37" borderId="19" numFmtId="49" xfId="0" applyNumberFormat="1" applyFont="1" applyFill="1" applyBorder="1">
      <alignment horizontal="left" indent="1" vertical="center"/>
    </xf>
    <xf fontId="22" fillId="37" borderId="37" numFmtId="49" xfId="0" applyNumberFormat="1" applyFont="1" applyFill="1" applyBorder="1">
      <alignment vertical="center" wrapText="1"/>
    </xf>
    <xf fontId="39" fillId="37" borderId="19" numFmtId="49" xfId="0" applyNumberFormat="1" applyFont="1" applyFill="1" applyBorder="1">
      <alignment horizontal="left" indent="1" vertical="center"/>
    </xf>
    <xf fontId="72" fillId="0" borderId="0" numFmtId="0" xfId="0" applyFont="1">
      <alignment horizontal="center" vertical="center" wrapText="1"/>
    </xf>
    <xf fontId="22" fillId="39" borderId="13" numFmtId="4" xfId="0" applyNumberFormat="1" applyFont="1" applyFill="1" applyBorder="1">
      <alignment horizontal="right" vertical="center" wrapText="1"/>
      <protection locked="0"/>
    </xf>
    <xf fontId="22" fillId="39" borderId="13" numFmtId="189" xfId="0" applyNumberFormat="1" applyFont="1" applyFill="1" applyBorder="1">
      <alignment horizontal="right" vertical="center" wrapText="1"/>
      <protection locked="0"/>
    </xf>
    <xf fontId="22" fillId="34" borderId="13" numFmtId="189" xfId="0" applyNumberFormat="1" applyFont="1" applyFill="1" applyBorder="1">
      <alignment horizontal="right" vertical="center" wrapText="1"/>
    </xf>
    <xf fontId="22" fillId="39" borderId="29" numFmtId="4" xfId="0" applyNumberFormat="1" applyFont="1" applyFill="1" applyBorder="1">
      <alignment horizontal="right" vertical="center" wrapText="1"/>
      <protection locked="0"/>
    </xf>
    <xf fontId="91" fillId="41" borderId="12" numFmtId="49" xfId="0" applyNumberFormat="1" applyFont="1" applyFill="1" applyBorder="1">
      <alignment horizontal="center" vertical="top"/>
    </xf>
    <xf fontId="95" fillId="0" borderId="0" numFmtId="49" xfId="0" applyNumberFormat="1" applyFont="1">
      <alignment vertical="top"/>
    </xf>
    <xf fontId="91" fillId="0" borderId="12" numFmtId="49" xfId="0" applyNumberFormat="1" applyFont="1" applyBorder="1">
      <alignment horizontal="center" vertical="top" wrapText="1"/>
    </xf>
    <xf fontId="91" fillId="0" borderId="12" numFmtId="49" xfId="0" applyNumberFormat="1" applyFont="1" applyBorder="1">
      <alignment vertical="top" wrapText="1"/>
    </xf>
    <xf fontId="91" fillId="0" borderId="12" numFmtId="0" xfId="0" applyFont="1" applyBorder="1">
      <alignment vertical="top" wrapText="1"/>
    </xf>
    <xf fontId="91" fillId="0" borderId="12" numFmtId="49" xfId="0" applyNumberFormat="1" applyFont="1" applyBorder="1">
      <alignment vertical="top"/>
    </xf>
    <xf fontId="95" fillId="0" borderId="12" numFmtId="49" xfId="0" applyNumberFormat="1" applyFont="1" applyBorder="1">
      <alignment vertical="top"/>
    </xf>
    <xf fontId="91" fillId="0" borderId="0" numFmtId="49" xfId="0" applyNumberFormat="1" applyFont="1">
      <alignment horizontal="center" vertical="center" wrapText="1"/>
    </xf>
    <xf fontId="91" fillId="0" borderId="0" numFmtId="49" xfId="0" applyNumberFormat="1" applyFont="1">
      <alignment horizontal="left" vertical="center" wrapText="1"/>
    </xf>
    <xf fontId="91" fillId="46" borderId="0" numFmtId="49" xfId="0" applyNumberFormat="1" applyFont="1" applyFill="1">
      <alignment horizontal="center" vertical="center" wrapText="1"/>
    </xf>
    <xf fontId="91" fillId="0" borderId="0" numFmtId="0" xfId="0" applyFont="1">
      <alignment vertical="center" wrapText="1"/>
    </xf>
    <xf fontId="47" fillId="0" borderId="12" numFmtId="0" xfId="0" applyFont="1" applyBorder="1">
      <alignment horizontal="left" indent="3" vertical="center" wrapText="1"/>
    </xf>
    <xf fontId="47" fillId="0" borderId="12" numFmtId="49" xfId="0" applyNumberFormat="1" applyFont="1" applyBorder="1">
      <alignment vertical="center" wrapText="1"/>
    </xf>
    <xf fontId="47" fillId="0" borderId="17" numFmtId="0" xfId="0" applyFont="1" applyBorder="1">
      <alignment vertical="top" wrapText="1"/>
    </xf>
    <xf fontId="47" fillId="0" borderId="36" numFmtId="0" xfId="0" applyFont="1" applyBorder="1">
      <alignment horizontal="left" indent="1" vertical="center" wrapText="1"/>
    </xf>
    <xf fontId="47" fillId="0" borderId="36" numFmtId="0" xfId="0" applyFont="1" applyBorder="1">
      <alignment horizontal="center" vertical="center" wrapText="1"/>
    </xf>
    <xf fontId="47" fillId="0" borderId="17" numFmtId="0" xfId="0" applyFont="1" applyBorder="1">
      <alignment vertical="center" wrapText="1"/>
    </xf>
    <xf fontId="47" fillId="0" borderId="23" numFmtId="0" xfId="0" applyFont="1" applyBorder="1">
      <alignment horizontal="left" indent="1" vertical="center" wrapText="1"/>
    </xf>
    <xf fontId="47" fillId="0" borderId="17" numFmtId="0" xfId="0" applyFont="1" applyBorder="1">
      <alignment horizontal="left" indent="1" vertical="center" wrapText="1"/>
    </xf>
    <xf fontId="95" fillId="41" borderId="12" numFmtId="49" xfId="0" applyNumberFormat="1" applyFont="1" applyFill="1" applyBorder="1">
      <alignment horizontal="center" vertical="top" wrapText="1"/>
    </xf>
    <xf fontId="95" fillId="41" borderId="12" numFmtId="49" xfId="0" applyNumberFormat="1" applyFont="1" applyFill="1" applyBorder="1">
      <alignment horizontal="left" vertical="top" wrapText="1"/>
    </xf>
    <xf fontId="95" fillId="41" borderId="0" numFmtId="49" xfId="0" applyNumberFormat="1" applyFont="1" applyFill="1">
      <alignment horizontal="left" vertical="top" wrapText="1"/>
    </xf>
    <xf fontId="91" fillId="0" borderId="14" numFmtId="0" xfId="0" applyFont="1" applyBorder="1">
      <alignment horizontal="center" vertical="center" wrapText="1"/>
    </xf>
    <xf fontId="22" fillId="0" borderId="23" numFmtId="0" xfId="0" applyFont="1" applyBorder="1">
      <alignment vertical="top" wrapText="1"/>
    </xf>
    <xf fontId="22" fillId="0" borderId="23" numFmtId="0" xfId="0" applyFont="1" applyBorder="1">
      <alignment vertical="top" wrapText="1"/>
    </xf>
    <xf fontId="91" fillId="0" borderId="14" numFmtId="0" xfId="0" applyFont="1" applyBorder="1">
      <alignment horizontal="center" vertical="center"/>
    </xf>
    <xf fontId="47" fillId="35" borderId="12" numFmtId="49" xfId="0" applyNumberFormat="1" applyFont="1" applyFill="1" applyBorder="1">
      <alignment horizontal="center" vertical="center"/>
    </xf>
    <xf fontId="47" fillId="35" borderId="12" numFmtId="0" xfId="0" applyFont="1" applyFill="1" applyBorder="1">
      <alignment horizontal="left" indent="1" vertical="center" wrapText="1"/>
    </xf>
    <xf fontId="47" fillId="35" borderId="12" numFmtId="0" xfId="0" applyFont="1" applyFill="1" applyBorder="1">
      <alignment vertical="center" wrapText="1"/>
    </xf>
    <xf fontId="47" fillId="0" borderId="12" numFmtId="49" xfId="0" applyNumberFormat="1" applyFont="1" applyBorder="1">
      <alignment horizontal="center" vertical="center"/>
    </xf>
    <xf fontId="47" fillId="0" borderId="12" numFmtId="0" xfId="0" applyFont="1" applyBorder="1">
      <alignment horizontal="left" indent="1" vertical="center" wrapText="1"/>
    </xf>
    <xf fontId="47" fillId="0" borderId="12" numFmtId="0" xfId="0" applyFont="1" applyBorder="1">
      <alignment horizontal="left" vertical="center" wrapText="1"/>
    </xf>
    <xf fontId="47" fillId="0" borderId="12" numFmtId="0" xfId="0" applyFont="1" applyBorder="1">
      <alignment vertical="center" wrapText="1"/>
    </xf>
    <xf fontId="47" fillId="0" borderId="12" numFmtId="0" xfId="0" applyFont="1" applyBorder="1">
      <alignment horizontal="center" vertical="center" wrapText="1"/>
    </xf>
    <xf fontId="47" fillId="35" borderId="12" numFmtId="0" xfId="0" applyFont="1" applyFill="1" applyBorder="1">
      <alignment horizontal="left" indent="2" vertical="center" wrapText="1"/>
    </xf>
    <xf fontId="47" fillId="0" borderId="12" numFmtId="49" xfId="0" applyNumberFormat="1" applyFont="1" applyBorder="1">
      <alignment horizontal="left" vertical="center" wrapText="1"/>
    </xf>
    <xf fontId="47" fillId="0" borderId="12" numFmtId="49" xfId="0" applyNumberFormat="1" applyFont="1" applyBorder="1">
      <alignment horizontal="left" vertical="center" wrapText="1"/>
    </xf>
    <xf fontId="22" fillId="0" borderId="23" numFmtId="2" xfId="0" applyNumberFormat="1" applyFont="1" applyBorder="1">
      <alignment horizontal="center" vertical="center" wrapText="1"/>
    </xf>
    <xf fontId="100" fillId="0" borderId="0" numFmtId="0" xfId="0" applyFont="1">
      <alignment horizontal="center" vertical="center" wrapText="1"/>
    </xf>
    <xf fontId="101" fillId="35" borderId="0" numFmtId="0" xfId="0" applyFont="1" applyFill="1">
      <alignment horizontal="right" vertical="center"/>
    </xf>
    <xf fontId="22" fillId="0" borderId="23" numFmtId="0" xfId="0" applyFont="1" applyBorder="1">
      <alignment horizontal="left" vertical="center" wrapText="1"/>
    </xf>
    <xf fontId="46" fillId="0" borderId="0" numFmtId="49" xfId="0" applyNumberFormat="1" applyFont="1">
      <alignment horizontal="center" vertical="center" wrapText="1"/>
    </xf>
    <xf fontId="47" fillId="0" borderId="27" numFmtId="0" xfId="0" applyFont="1" applyBorder="1">
      <alignment vertical="center" wrapText="1"/>
    </xf>
    <xf fontId="53" fillId="0" borderId="14" numFmtId="49" xfId="0" applyNumberFormat="1" applyFont="1" applyBorder="1">
      <alignment horizontal="left" vertical="center" wrapText="1"/>
    </xf>
    <xf fontId="53" fillId="0" borderId="15" numFmtId="49" xfId="0" applyNumberFormat="1" applyFont="1" applyBorder="1">
      <alignment horizontal="left" vertical="center" wrapText="1"/>
    </xf>
    <xf fontId="47" fillId="0" borderId="0" numFmtId="49" xfId="0" applyNumberFormat="1" applyFont="1">
      <alignment horizontal="center" vertical="center" wrapText="1"/>
    </xf>
    <xf fontId="47" fillId="0" borderId="0" numFmtId="0" xfId="0" applyFont="1">
      <alignment horizontal="center" vertical="center" wrapText="1"/>
    </xf>
    <xf fontId="22" fillId="0" borderId="17" numFmtId="4" xfId="0" applyNumberFormat="1" applyFont="1" applyBorder="1">
      <alignment horizontal="center" vertical="center" wrapText="1"/>
    </xf>
    <xf fontId="22" fillId="0" borderId="32" numFmtId="4" xfId="0" applyNumberFormat="1" applyFont="1" applyBorder="1">
      <alignment horizontal="center" vertical="center" wrapText="1"/>
    </xf>
    <xf fontId="53" fillId="0" borderId="37" numFmtId="49" xfId="0" applyNumberFormat="1" applyFont="1" applyBorder="1">
      <alignment horizontal="left" vertical="center" wrapText="1"/>
    </xf>
    <xf fontId="53" fillId="0" borderId="30" numFmtId="49" xfId="0" applyNumberFormat="1" applyFont="1" applyBorder="1">
      <alignment horizontal="left" vertical="center" wrapText="1"/>
    </xf>
    <xf fontId="22" fillId="0" borderId="36" numFmtId="0" xfId="0" applyFont="1" applyBorder="1">
      <alignment vertical="center" wrapText="1"/>
    </xf>
    <xf fontId="22" fillId="0" borderId="32" numFmtId="0" xfId="0" applyFont="1" applyBorder="1">
      <alignment horizontal="left" vertical="center" wrapText="1"/>
    </xf>
    <xf fontId="46" fillId="0" borderId="0" numFmtId="49" xfId="0" applyNumberFormat="1" applyFont="1">
      <alignment horizontal="center" vertical="center" wrapText="1"/>
    </xf>
    <xf fontId="22" fillId="0" borderId="0" numFmtId="0" xfId="0" applyFont="1">
      <alignment vertical="top" wrapText="1"/>
    </xf>
    <xf fontId="22" fillId="0" borderId="0" numFmtId="0" xfId="0" applyFont="1">
      <alignment vertical="top"/>
    </xf>
    <xf fontId="22" fillId="0" borderId="40" numFmtId="4" xfId="0" applyNumberFormat="1" applyFont="1" applyBorder="1">
      <alignment horizontal="center" vertical="center" wrapText="1"/>
    </xf>
    <xf fontId="47" fillId="0" borderId="0" numFmtId="0" xfId="0" applyFont="1">
      <alignment horizontal="center" vertical="top"/>
    </xf>
    <xf fontId="47" fillId="0" borderId="0" numFmtId="49" xfId="0" applyNumberFormat="1" applyFont="1">
      <alignment vertical="top"/>
    </xf>
    <xf fontId="47" fillId="0" borderId="23" numFmtId="0" xfId="0" applyFont="1" applyBorder="1">
      <alignment vertical="center" wrapText="1"/>
    </xf>
    <xf fontId="47" fillId="0" borderId="12" numFmtId="4" xfId="0" applyNumberFormat="1" applyFont="1" applyBorder="1">
      <alignment horizontal="right" vertical="center" wrapText="1"/>
    </xf>
    <xf fontId="47" fillId="0" borderId="23" numFmtId="2" xfId="0" applyNumberFormat="1" applyFont="1" applyBorder="1">
      <alignment horizontal="center" vertical="center" wrapText="1"/>
    </xf>
    <xf fontId="47" fillId="0" borderId="12" numFmtId="0" xfId="0" applyFont="1" applyBorder="1">
      <alignment horizontal="left" vertical="center" wrapText="1"/>
    </xf>
    <xf fontId="47" fillId="0" borderId="14" numFmtId="49" xfId="0" applyNumberFormat="1" applyFont="1" applyBorder="1">
      <alignment horizontal="left" vertical="center"/>
    </xf>
    <xf fontId="47" fillId="0" borderId="15" numFmtId="49" xfId="0" applyNumberFormat="1" applyFont="1" applyBorder="1">
      <alignment horizontal="left" indent="1" vertical="center"/>
    </xf>
    <xf fontId="47" fillId="0" borderId="15" numFmtId="49" xfId="0" applyNumberFormat="1" applyFont="1" applyBorder="1">
      <alignment horizontal="left" vertical="center"/>
    </xf>
    <xf fontId="47" fillId="0" borderId="12" numFmtId="0" xfId="0" applyFont="1" applyBorder="1">
      <alignment horizontal="left" indent="1" vertical="center"/>
    </xf>
    <xf fontId="39" fillId="0" borderId="19" numFmtId="49" xfId="0" applyNumberFormat="1" applyFont="1" applyBorder="1">
      <alignment horizontal="right" vertical="center"/>
    </xf>
    <xf fontId="22" fillId="40" borderId="12" numFmtId="0" xfId="0" applyFont="1" applyFill="1" applyBorder="1">
      <alignment horizontal="left" indent="1" vertical="center" wrapText="1"/>
    </xf>
    <xf fontId="22" fillId="0" borderId="12" numFmtId="0" xfId="0" applyFont="1" applyBorder="1">
      <alignment horizontal="center" vertical="center" wrapText="1"/>
    </xf>
    <xf fontId="47" fillId="0" borderId="0" numFmtId="0" xfId="0" applyFont="1">
      <alignment horizontal="center" vertical="center" wrapText="1"/>
    </xf>
    <xf fontId="46" fillId="0" borderId="0" numFmtId="49" xfId="0" applyNumberFormat="1" applyFont="1">
      <alignment horizontal="center" vertical="center" wrapText="1"/>
    </xf>
    <xf fontId="47" fillId="0" borderId="0" numFmtId="49" xfId="0" applyNumberFormat="1" applyFont="1">
      <alignment horizontal="center" vertical="center" wrapText="1"/>
    </xf>
    <xf fontId="61" fillId="35" borderId="0" numFmtId="0" xfId="0" applyFont="1" applyFill="1">
      <alignment horizontal="left" indent="1" vertical="center" wrapText="1"/>
    </xf>
    <xf fontId="22" fillId="0" borderId="0" numFmtId="0" xfId="0" applyFont="1">
      <alignment horizontal="left" indent="1" vertical="center" wrapText="1"/>
    </xf>
    <xf fontId="53" fillId="36" borderId="13" numFmtId="49" xfId="0" applyNumberFormat="1" applyFont="1" applyFill="1" applyBorder="1">
      <alignment horizontal="left" vertical="center" wrapText="1"/>
      <protection locked="0"/>
    </xf>
    <xf fontId="22" fillId="0" borderId="0" numFmtId="49" xfId="0" applyNumberFormat="1" applyFont="1">
      <alignment horizontal="center" vertical="center" wrapText="1"/>
    </xf>
    <xf fontId="22" fillId="0" borderId="19" numFmtId="0" xfId="0" applyFont="1" applyBorder="1">
      <alignment vertical="center" wrapText="1"/>
    </xf>
    <xf fontId="22" fillId="0" borderId="27" numFmtId="0" xfId="0" applyFont="1" applyBorder="1">
      <alignment vertical="center" wrapText="1"/>
    </xf>
    <xf fontId="22" fillId="37" borderId="41" numFmtId="49" xfId="0" applyNumberFormat="1" applyFont="1" applyFill="1" applyBorder="1">
      <alignment horizontal="center" vertical="center" wrapText="1"/>
    </xf>
    <xf fontId="49" fillId="37" borderId="42" numFmtId="49" xfId="0" applyNumberFormat="1" applyFont="1" applyFill="1" applyBorder="1">
      <alignment horizontal="right" vertical="center" wrapText="1"/>
    </xf>
    <xf fontId="49" fillId="37" borderId="43" numFmtId="49" xfId="0" applyNumberFormat="1" applyFont="1" applyFill="1" applyBorder="1">
      <alignment horizontal="right" vertical="center" wrapText="1"/>
    </xf>
    <xf fontId="44" fillId="0" borderId="0" numFmtId="49" xfId="0" applyNumberFormat="1" applyFont="1">
      <alignment vertical="top"/>
    </xf>
    <xf fontId="44" fillId="0" borderId="0" numFmtId="49" xfId="0" applyNumberFormat="1" applyFont="1">
      <alignment vertical="center" wrapText="1"/>
    </xf>
    <xf fontId="44" fillId="0" borderId="0" numFmtId="0" xfId="0" applyFont="1">
      <alignment vertical="center" wrapText="1"/>
    </xf>
    <xf fontId="94" fillId="0" borderId="0" numFmtId="49" xfId="0" applyNumberFormat="1" applyFont="1">
      <alignment vertical="center" wrapText="1"/>
    </xf>
    <xf fontId="0" fillId="0" borderId="0" numFmtId="49" xfId="0" applyNumberFormat="1" applyFont="1">
      <alignment vertical="center" wrapText="1"/>
    </xf>
    <xf fontId="31" fillId="47" borderId="0" numFmtId="49" xfId="0" applyNumberFormat="1" applyFont="1" applyFill="1">
      <alignment horizontal="center" vertical="center"/>
    </xf>
    <xf fontId="0" fillId="48" borderId="0" numFmtId="0" xfId="0" applyFont="1" applyFill="1">
      <alignment horizontal="left" vertical="center"/>
    </xf>
    <xf fontId="0" fillId="49" borderId="12" numFmtId="0" xfId="0" applyFont="1" applyFill="1" applyBorder="1">
      <alignment horizontal="center" vertical="center"/>
    </xf>
    <xf fontId="0" fillId="0" borderId="0" numFmtId="49" xfId="0" applyNumberFormat="1" applyFont="1">
      <alignment vertical="center"/>
    </xf>
    <xf fontId="46" fillId="47" borderId="12" numFmtId="49" xfId="0" applyNumberFormat="1" applyFont="1" applyFill="1" applyBorder="1">
      <alignment horizontal="center" vertical="center"/>
    </xf>
    <xf fontId="46" fillId="50" borderId="12" numFmtId="49" xfId="0" applyNumberFormat="1" applyFont="1" applyFill="1" applyBorder="1">
      <alignment horizontal="center" vertical="center"/>
    </xf>
    <xf fontId="0" fillId="51" borderId="12" numFmtId="49" xfId="0" applyNumberFormat="1" applyFont="1" applyFill="1" applyBorder="1">
      <alignment horizontal="center" vertical="center"/>
    </xf>
    <xf fontId="22" fillId="0" borderId="0" numFmtId="49" xfId="0" applyNumberFormat="1" applyFont="1">
      <alignment vertical="top"/>
    </xf>
    <xf fontId="22" fillId="0" borderId="12" numFmtId="0" xfId="0" applyFont="1" applyBorder="1">
      <alignment vertical="center"/>
    </xf>
    <xf fontId="0" fillId="0" borderId="12" numFmtId="0" xfId="0" applyFont="1" applyBorder="1">
      <alignment vertical="center"/>
    </xf>
    <xf fontId="0" fillId="0" borderId="12" numFmtId="0" xfId="0" applyFont="1" applyBorder="1">
      <alignment vertical="center"/>
    </xf>
    <xf fontId="0" fillId="0" borderId="14" numFmtId="0" xfId="0" applyFont="1" applyBorder="1">
      <alignment vertical="center"/>
    </xf>
    <xf fontId="0" fillId="0" borderId="14" numFmtId="0" xfId="0" applyFont="1" applyBorder="1">
      <alignment vertical="center"/>
    </xf>
    <xf fontId="22" fillId="0" borderId="44" numFmtId="49" xfId="0" applyNumberFormat="1" applyFont="1" applyBorder="1">
      <alignment vertical="center"/>
    </xf>
    <xf fontId="22" fillId="0" borderId="45" numFmtId="49" xfId="0" applyNumberFormat="1" applyFont="1" applyBorder="1">
      <alignment vertical="top"/>
    </xf>
    <xf fontId="0" fillId="0" borderId="13" numFmtId="0" xfId="0" applyFont="1" applyBorder="1">
      <alignment vertical="center"/>
    </xf>
    <xf fontId="0" fillId="0" borderId="12" numFmtId="0" xfId="0" applyFont="1" applyBorder="1">
      <alignment horizontal="right" vertical="top"/>
    </xf>
    <xf fontId="0" fillId="0" borderId="12" numFmtId="0" xfId="0" applyFont="1" applyBorder="1">
      <alignment vertical="top"/>
    </xf>
    <xf fontId="22" fillId="0" borderId="13" numFmtId="0" xfId="0" applyFont="1" applyBorder="1">
      <alignment vertical="center"/>
    </xf>
    <xf fontId="22" fillId="0" borderId="12" numFmtId="49" xfId="0" applyNumberFormat="1" applyFont="1" applyBorder="1">
      <alignment vertical="center"/>
    </xf>
    <xf fontId="0" fillId="0" borderId="0" numFmtId="0" xfId="0" applyFont="1">
      <alignment vertical="top"/>
    </xf>
    <xf fontId="22" fillId="0" borderId="12" numFmtId="0" xfId="0" applyFont="1" applyBorder="1">
      <alignment vertical="top"/>
    </xf>
    <xf fontId="22" fillId="0" borderId="12" numFmtId="49" xfId="0" applyNumberFormat="1" applyFont="1" applyBorder="1">
      <alignment vertical="top"/>
    </xf>
    <xf fontId="0" fillId="0" borderId="0" numFmtId="49" xfId="0" applyNumberFormat="1" applyFont="1">
      <alignment vertical="top"/>
    </xf>
    <xf fontId="22" fillId="0" borderId="0" numFmtId="0" xfId="0" applyFont="1">
      <alignment vertical="center"/>
    </xf>
    <xf fontId="22" fillId="0" borderId="14" numFmtId="49" xfId="0" applyNumberFormat="1" applyFont="1" applyBorder="1">
      <alignment vertical="top"/>
    </xf>
    <xf fontId="0" fillId="0" borderId="0" numFmtId="0" xfId="0" applyFont="1">
      <alignment vertical="center"/>
    </xf>
    <xf fontId="22" fillId="0" borderId="0" numFmtId="0" xfId="0" applyFont="1">
      <alignment vertical="top"/>
    </xf>
    <xf fontId="22" fillId="0" borderId="12" numFmtId="49" xfId="0" applyNumberFormat="1" applyFont="1" applyBorder="1">
      <alignment vertical="top"/>
    </xf>
    <xf fontId="0" fillId="0" borderId="14" numFmtId="49" xfId="0" applyNumberFormat="1" applyFont="1" applyBorder="1">
      <alignment vertical="top"/>
    </xf>
    <xf fontId="0" fillId="0" borderId="17" numFmtId="0" xfId="0" applyFont="1" applyBorder="1">
      <alignment vertical="top"/>
    </xf>
    <xf fontId="22" fillId="0" borderId="17" numFmtId="0" xfId="0" applyFont="1" applyBorder="1">
      <alignment vertical="center"/>
    </xf>
    <xf fontId="22" fillId="0" borderId="31" numFmtId="49" xfId="0" applyNumberFormat="1" applyFont="1" applyBorder="1">
      <alignment horizontal="center" vertical="center"/>
    </xf>
    <xf fontId="22" fillId="0" borderId="0" numFmtId="49" xfId="0" applyNumberFormat="1" applyFont="1">
      <alignment vertical="top"/>
    </xf>
    <xf fontId="22" fillId="0" borderId="0" numFmtId="49" xfId="0" applyNumberFormat="1" applyFont="1">
      <alignment vertical="top"/>
    </xf>
    <xf fontId="0" fillId="36" borderId="31" numFmtId="49" xfId="0" applyNumberFormat="1" applyFont="1" applyFill="1" applyBorder="1">
      <alignment horizontal="left" vertical="center"/>
      <protection locked="0"/>
    </xf>
    <xf fontId="0" fillId="0" borderId="12" numFmtId="49" xfId="0" applyNumberFormat="1" applyFont="1" applyBorder="1">
      <alignment horizontal="center" vertical="center"/>
    </xf>
    <xf fontId="0" fillId="0" borderId="31" numFmtId="49" xfId="0" applyNumberFormat="1" applyFont="1" applyBorder="1">
      <alignment horizontal="right" vertical="center"/>
    </xf>
    <xf fontId="0" fillId="34" borderId="31" numFmtId="0" xfId="0" applyFont="1" applyFill="1" applyBorder="1">
      <alignment horizontal="center" vertical="center"/>
    </xf>
    <xf fontId="0" fillId="0" borderId="31" numFmtId="49" xfId="0" applyNumberFormat="1" applyFont="1" applyBorder="1">
      <alignment horizontal="center" vertical="center"/>
    </xf>
    <xf fontId="0" fillId="0" borderId="0" numFmtId="49" xfId="0" applyNumberFormat="1" applyFont="1">
      <alignment horizontal="left" vertical="center"/>
    </xf>
    <xf fontId="0" fillId="0" borderId="0" numFmtId="0" xfId="0" applyFont="1">
      <alignment horizontal="center" vertical="center"/>
    </xf>
    <xf fontId="102" fillId="0" borderId="46" numFmtId="0" xfId="0" applyFont="1" applyBorder="1">
      <alignment horizontal="center" vertical="center"/>
    </xf>
    <xf fontId="0" fillId="0" borderId="46" numFmtId="0" xfId="0" applyFont="1" applyBorder="1">
      <alignment horizontal="center" vertical="center"/>
    </xf>
    <xf fontId="31" fillId="47" borderId="12" numFmtId="49" xfId="0" applyNumberFormat="1" applyFont="1" applyFill="1" applyBorder="1">
      <alignment horizontal="right" vertical="center"/>
    </xf>
    <xf fontId="22" fillId="36" borderId="37" numFmtId="49" xfId="0" applyNumberFormat="1" applyFont="1" applyFill="1" applyBorder="1">
      <alignment vertical="top"/>
      <protection locked="0"/>
    </xf>
    <xf fontId="22" fillId="0" borderId="12" numFmtId="0" xfId="0" applyFont="1" applyBorder="1">
      <alignment vertical="top"/>
    </xf>
    <xf fontId="22" fillId="41" borderId="23" numFmtId="49" xfId="0" applyNumberFormat="1" applyFont="1" applyFill="1" applyBorder="1">
      <alignment vertical="top"/>
    </xf>
    <xf fontId="22" fillId="41" borderId="12" numFmtId="49" xfId="0" applyNumberFormat="1" applyFont="1" applyFill="1" applyBorder="1">
      <alignment vertical="top"/>
    </xf>
    <xf fontId="0" fillId="0" borderId="32" numFmtId="0" xfId="0" applyFont="1" applyBorder="1">
      <alignment horizontal="center" vertical="center"/>
    </xf>
    <xf fontId="0" fillId="0" borderId="0" numFmtId="49" xfId="0" applyNumberFormat="1" applyFont="1">
      <alignment vertical="center"/>
    </xf>
    <xf fontId="31" fillId="47" borderId="14" numFmtId="49" xfId="0" applyNumberFormat="1" applyFont="1" applyFill="1" applyBorder="1">
      <alignment horizontal="right" vertical="center"/>
    </xf>
    <xf fontId="22" fillId="0" borderId="0" numFmtId="49" xfId="0" applyNumberFormat="1" applyFont="1">
      <alignment vertical="center"/>
    </xf>
    <xf fontId="0" fillId="48" borderId="0" numFmtId="0" xfId="0" applyFont="1" applyFill="1">
      <alignment horizontal="right" vertical="center"/>
    </xf>
    <xf fontId="103" fillId="0" borderId="47" numFmtId="0" xfId="0" applyFont="1" applyBorder="1">
      <alignment horizontal="left" indent="1" vertical="center"/>
    </xf>
    <xf fontId="103" fillId="0" borderId="48" numFmtId="0" xfId="0" applyFont="1" applyBorder="1">
      <alignment horizontal="left" indent="1" vertical="center"/>
    </xf>
    <xf fontId="103" fillId="0" borderId="49" numFmtId="0" xfId="0" applyFont="1" applyBorder="1">
      <alignment horizontal="left" indent="1" vertical="center"/>
    </xf>
    <xf fontId="22" fillId="35" borderId="0" numFmtId="0" xfId="0" applyFont="1" applyFill="1">
      <alignment vertical="center" wrapText="1"/>
    </xf>
    <xf fontId="22" fillId="0" borderId="0" numFmtId="0" xfId="0" applyFont="1">
      <alignment vertical="center" wrapText="1"/>
    </xf>
    <xf fontId="31" fillId="0" borderId="0" numFmtId="0" xfId="0" applyFont="1">
      <alignment vertical="center" wrapText="1"/>
    </xf>
    <xf fontId="22" fillId="0" borderId="0" numFmtId="49" xfId="0" applyNumberFormat="1" applyFont="1">
      <alignment vertical="top"/>
    </xf>
    <xf fontId="46" fillId="0" borderId="0" numFmtId="0" xfId="0" applyFont="1">
      <alignment vertical="center" wrapText="1"/>
    </xf>
    <xf fontId="98" fillId="0" borderId="0" numFmtId="49" xfId="0" applyNumberFormat="1" applyFont="1">
      <alignment horizontal="center" vertical="center" wrapText="1"/>
    </xf>
    <xf fontId="22" fillId="35" borderId="0" numFmtId="0" xfId="0" applyFont="1" applyFill="1">
      <alignment vertical="center" wrapText="1"/>
    </xf>
    <xf fontId="22" fillId="0" borderId="0" numFmtId="0" xfId="0" applyFont="1">
      <alignment vertical="center" wrapText="1"/>
    </xf>
    <xf fontId="49" fillId="35" borderId="39" numFmtId="0" xfId="0" applyFont="1" applyFill="1" applyBorder="1">
      <alignment horizontal="center" wrapText="1"/>
    </xf>
    <xf fontId="73" fillId="0" borderId="39" numFmtId="49" xfId="0" applyNumberFormat="1" applyFont="1" applyBorder="1">
      <alignment vertical="top"/>
    </xf>
    <xf fontId="0" fillId="0" borderId="12" numFmtId="0" xfId="0" applyFont="1" applyBorder="1">
      <alignment horizontal="center" vertical="center" wrapText="1"/>
    </xf>
    <xf fontId="22" fillId="0" borderId="0" numFmtId="0" xfId="0" applyFont="1">
      <alignment horizontal="left" indent="3" vertical="center" wrapText="1"/>
    </xf>
    <xf fontId="22" fillId="0" borderId="0" numFmtId="0" xfId="0" applyFont="1">
      <alignment horizontal="left" indent="3" vertical="center" wrapText="1"/>
    </xf>
    <xf fontId="22" fillId="0" borderId="0" numFmtId="0" xfId="0" applyFont="1">
      <alignment vertical="center" wrapText="1"/>
    </xf>
    <xf fontId="31" fillId="0" borderId="0" numFmtId="0" xfId="0" applyFont="1">
      <alignment vertical="center" wrapText="1"/>
    </xf>
    <xf fontId="22" fillId="0" borderId="0" numFmtId="49" xfId="0" applyNumberFormat="1" applyFont="1">
      <alignment vertical="top"/>
    </xf>
    <xf fontId="46" fillId="0" borderId="0" numFmtId="0" xfId="0" applyFont="1">
      <alignment vertical="center" wrapText="1"/>
    </xf>
    <xf fontId="22" fillId="0" borderId="12" numFmtId="0" xfId="0" applyFont="1" applyBorder="1">
      <alignment horizontal="center" vertical="center" wrapText="1"/>
    </xf>
    <xf fontId="22" fillId="0" borderId="0" numFmtId="0" xfId="0" applyFont="1">
      <alignment vertical="center" wrapText="1"/>
    </xf>
    <xf fontId="22" fillId="35" borderId="39" numFmtId="0" xfId="0" applyFont="1" applyFill="1" applyBorder="1">
      <alignment vertical="center" wrapText="1"/>
    </xf>
    <xf fontId="22" fillId="0" borderId="0" numFmtId="0" xfId="0" applyFont="1">
      <alignment vertical="center" wrapText="1"/>
    </xf>
    <xf fontId="31" fillId="0" borderId="0" numFmtId="0" xfId="0" applyFont="1">
      <alignment vertical="center" wrapText="1"/>
    </xf>
    <xf fontId="22" fillId="0" borderId="0" numFmtId="49" xfId="0" applyNumberFormat="1" applyFont="1">
      <alignment vertical="top"/>
    </xf>
    <xf fontId="46" fillId="0" borderId="0" numFmtId="0" xfId="0" applyFont="1">
      <alignment vertical="center" wrapText="1"/>
    </xf>
    <xf fontId="22" fillId="0" borderId="0" numFmtId="0" xfId="0" applyFont="1">
      <alignment vertical="center" wrapText="1"/>
    </xf>
    <xf fontId="22" fillId="0" borderId="0" numFmtId="0" xfId="0" applyFont="1">
      <alignment vertical="center" wrapText="1"/>
    </xf>
    <xf fontId="22" fillId="35" borderId="39" numFmtId="0" xfId="0" applyFont="1" applyFill="1" applyBorder="1">
      <alignment vertical="center" wrapText="1"/>
    </xf>
    <xf fontId="22" fillId="39" borderId="12" numFmtId="0" xfId="0" applyFont="1" applyFill="1" applyBorder="1">
      <alignment horizontal="left" indent="1" vertical="center" wrapText="1"/>
      <protection locked="0"/>
    </xf>
    <xf fontId="46" fillId="47" borderId="0" numFmtId="49" xfId="0" applyNumberFormat="1" applyFont="1" applyFill="1">
      <alignment horizontal="center" vertical="center" wrapText="1"/>
    </xf>
    <xf fontId="22" fillId="0" borderId="12" numFmtId="0" xfId="0" applyFont="1" applyBorder="1">
      <alignment horizontal="center" vertical="center" wrapText="1"/>
    </xf>
    <xf fontId="22" fillId="0" borderId="12" numFmtId="0" xfId="0" applyFont="1" applyBorder="1">
      <alignment horizontal="center" vertical="center" wrapText="1"/>
    </xf>
    <xf fontId="22" fillId="0" borderId="0" numFmtId="0" xfId="0" applyFont="1">
      <alignment vertical="center" wrapText="1"/>
    </xf>
    <xf fontId="31" fillId="0" borderId="0" numFmtId="0" xfId="0" applyFont="1">
      <alignment vertical="center" wrapText="1"/>
    </xf>
    <xf fontId="22" fillId="0" borderId="0" numFmtId="49" xfId="0" applyNumberFormat="1" applyFont="1">
      <alignment vertical="top"/>
    </xf>
    <xf fontId="104" fillId="0" borderId="16" numFmtId="49" xfId="0" applyNumberFormat="1" applyFont="1" applyBorder="1">
      <alignment vertical="top"/>
    </xf>
    <xf fontId="0" fillId="0" borderId="0" numFmtId="0" xfId="0" applyFont="1">
      <alignment vertical="top"/>
    </xf>
    <xf fontId="46" fillId="0" borderId="0" numFmtId="0" xfId="0" applyFont="1">
      <alignment vertical="center" wrapText="1"/>
    </xf>
    <xf fontId="53" fillId="39" borderId="12" numFmtId="49" xfId="0" applyNumberFormat="1" applyFont="1" applyFill="1" applyBorder="1">
      <alignment horizontal="left" vertical="center" wrapText="1"/>
      <protection locked="0"/>
    </xf>
    <xf fontId="22" fillId="0" borderId="14" numFmtId="0" xfId="0" applyFont="1" applyBorder="1">
      <alignment horizontal="left" vertical="center"/>
    </xf>
    <xf fontId="0" fillId="0" borderId="14" numFmtId="0" xfId="0" applyFont="1" applyBorder="1">
      <alignment horizontal="left" vertical="center"/>
    </xf>
    <xf fontId="53" fillId="39" borderId="12" numFmtId="49" xfId="0" applyNumberFormat="1" applyFont="1" applyFill="1" applyBorder="1">
      <alignment horizontal="left" vertical="center" wrapText="1"/>
      <protection locked="0"/>
    </xf>
    <xf fontId="22" fillId="35" borderId="26" numFmtId="0" xfId="0" applyFont="1" applyFill="1" applyBorder="1">
      <alignment horizontal="right" indent="1" vertical="center" wrapText="1"/>
    </xf>
    <xf fontId="46" fillId="0" borderId="0" numFmtId="49" xfId="0" applyNumberFormat="1" applyFont="1">
      <alignment horizontal="center" vertical="center" wrapText="1"/>
    </xf>
    <xf fontId="47" fillId="0" borderId="0" numFmtId="49" xfId="0" applyNumberFormat="1" applyFont="1">
      <alignment horizontal="center" vertical="center" wrapText="1"/>
    </xf>
    <xf fontId="39" fillId="37" borderId="15" numFmtId="49" xfId="0" applyNumberFormat="1" applyFont="1" applyFill="1" applyBorder="1">
      <alignment horizontal="left" indent="1" vertical="center"/>
    </xf>
    <xf fontId="22" fillId="39" borderId="31" numFmtId="4" xfId="0" applyNumberFormat="1" applyFont="1" applyFill="1" applyBorder="1">
      <alignment horizontal="right" vertical="center" wrapText="1"/>
      <protection locked="0"/>
    </xf>
    <xf fontId="22" fillId="35" borderId="0" numFmtId="0" xfId="0" applyFont="1" applyFill="1">
      <alignment vertical="center" wrapText="1"/>
    </xf>
    <xf fontId="22" fillId="0" borderId="0" numFmtId="0" xfId="0" applyFont="1">
      <alignment vertical="center"/>
    </xf>
    <xf fontId="22" fillId="0" borderId="0" numFmtId="0" xfId="0" applyFont="1">
      <alignment vertical="center" wrapText="1"/>
    </xf>
    <xf fontId="22" fillId="37" borderId="50" numFmtId="0" xfId="0" applyFont="1" applyFill="1" applyBorder="1">
      <alignment vertical="center" wrapText="1"/>
    </xf>
    <xf fontId="22" fillId="37" borderId="51" numFmtId="0" xfId="0" applyFont="1" applyFill="1" applyBorder="1">
      <alignment vertical="center" wrapText="1"/>
    </xf>
    <xf fontId="105" fillId="37" borderId="14" numFmtId="49" xfId="0" applyNumberFormat="1" applyFont="1" applyFill="1" applyBorder="1">
      <alignment horizontal="left" indent="1" vertical="center"/>
    </xf>
    <xf fontId="105" fillId="37" borderId="15" numFmtId="49" xfId="0" applyNumberFormat="1" applyFont="1" applyFill="1" applyBorder="1">
      <alignment horizontal="left" indent="1" vertical="center"/>
    </xf>
    <xf fontId="94" fillId="37" borderId="43" numFmtId="49" xfId="0" applyNumberFormat="1" applyFont="1" applyFill="1" applyBorder="1">
      <alignment horizontal="center" vertical="center"/>
    </xf>
    <xf fontId="105" fillId="37" borderId="43" numFmtId="49" xfId="0" applyNumberFormat="1" applyFont="1" applyFill="1" applyBorder="1">
      <alignment horizontal="left" indent="1" vertical="center"/>
    </xf>
    <xf fontId="44" fillId="40" borderId="12" numFmtId="0" xfId="0" applyFont="1" applyFill="1" applyBorder="1">
      <alignment horizontal="left" indent="1" vertical="center" wrapText="1"/>
    </xf>
    <xf fontId="44" fillId="37" borderId="15" numFmtId="49" xfId="0" applyNumberFormat="1" applyFont="1" applyFill="1" applyBorder="1">
      <alignment vertical="top" wrapText="1"/>
    </xf>
    <xf fontId="44" fillId="37" borderId="13" numFmtId="49" xfId="0" applyNumberFormat="1" applyFont="1" applyFill="1" applyBorder="1">
      <alignment vertical="top" wrapText="1"/>
    </xf>
    <xf fontId="44" fillId="37" borderId="52" numFmtId="49" xfId="0" applyNumberFormat="1" applyFont="1" applyFill="1" applyBorder="1">
      <alignment vertical="top" wrapText="1"/>
    </xf>
    <xf fontId="105" fillId="37" borderId="52" numFmtId="49" xfId="0" applyNumberFormat="1" applyFont="1" applyFill="1" applyBorder="1">
      <alignment horizontal="left" indent="1" vertical="center"/>
    </xf>
    <xf fontId="22" fillId="35" borderId="39" numFmtId="0" xfId="0" applyFont="1" applyFill="1" applyBorder="1">
      <alignment vertical="center" wrapText="1"/>
    </xf>
    <xf fontId="0" fillId="0" borderId="49" numFmtId="0" xfId="0" applyFont="1" applyBorder="1">
      <alignment horizontal="left" vertical="center" wrapText="1"/>
    </xf>
    <xf fontId="22" fillId="0" borderId="49" numFmtId="0" xfId="0" applyFont="1" applyBorder="1">
      <alignment vertical="center" wrapText="1"/>
    </xf>
    <xf fontId="22" fillId="0" borderId="53" numFmtId="0" xfId="0" applyFont="1" applyBorder="1">
      <alignment vertical="center" wrapText="1"/>
    </xf>
    <xf fontId="22" fillId="0" borderId="54" numFmtId="0" xfId="0" applyFont="1" applyBorder="1">
      <alignment vertical="center" wrapText="1"/>
    </xf>
    <xf fontId="22" fillId="40" borderId="12" numFmtId="0" xfId="0" applyFont="1" applyFill="1" applyBorder="1">
      <alignment horizontal="left" indent="1" vertical="center" wrapText="1"/>
    </xf>
    <xf fontId="0" fillId="37" borderId="50" numFmtId="0" xfId="0" applyFont="1" applyFill="1" applyBorder="1">
      <alignment horizontal="left" vertical="center"/>
    </xf>
    <xf fontId="22" fillId="35" borderId="12" numFmtId="0" xfId="0" applyFont="1" applyFill="1" applyBorder="1">
      <alignment horizontal="center" vertical="center" wrapText="1"/>
    </xf>
    <xf fontId="35" fillId="0" borderId="12" numFmtId="49" xfId="0" applyNumberFormat="1" applyFont="1" applyBorder="1">
      <alignment horizontal="center" vertical="center"/>
    </xf>
    <xf fontId="35" fillId="41" borderId="12" numFmtId="49" xfId="0" applyNumberFormat="1" applyFont="1" applyFill="1" applyBorder="1">
      <alignment horizontal="center" vertical="center"/>
    </xf>
    <xf fontId="35" fillId="0" borderId="12" numFmtId="0" xfId="0" applyFont="1" applyBorder="1">
      <alignment horizontal="center" vertical="center"/>
    </xf>
    <xf fontId="35" fillId="0" borderId="23" numFmtId="49" xfId="0" applyNumberFormat="1" applyFont="1" applyBorder="1">
      <alignment horizontal="center" vertical="center"/>
    </xf>
    <xf fontId="22" fillId="0" borderId="0" numFmtId="49" xfId="0" applyNumberFormat="1" applyFont="1">
      <alignment vertical="center"/>
    </xf>
    <xf fontId="46" fillId="0" borderId="17" numFmtId="49" xfId="0" applyNumberFormat="1" applyFont="1" applyBorder="1">
      <alignment horizontal="center" vertical="center"/>
    </xf>
    <xf fontId="22" fillId="0" borderId="17" numFmtId="49" xfId="0" applyNumberFormat="1" applyFont="1" applyBorder="1">
      <alignment horizontal="center" vertical="center"/>
    </xf>
    <xf fontId="22" fillId="0" borderId="17" numFmtId="0" xfId="0" applyFont="1" applyBorder="1">
      <alignment horizontal="right" vertical="center"/>
    </xf>
    <xf fontId="22" fillId="0" borderId="17" numFmtId="0" xfId="0" applyFont="1" applyBorder="1">
      <alignment horizontal="center" vertical="center"/>
    </xf>
    <xf fontId="22" fillId="0" borderId="12" numFmtId="0" xfId="0" applyFont="1" applyBorder="1">
      <alignment horizontal="right" vertical="center"/>
    </xf>
    <xf fontId="22" fillId="0" borderId="0" numFmtId="49" xfId="0" applyNumberFormat="1" applyFont="1">
      <alignment vertical="center"/>
    </xf>
    <xf fontId="22" fillId="0" borderId="55" numFmtId="49" xfId="0" applyNumberFormat="1" applyFont="1" applyBorder="1">
      <alignment horizontal="center" vertical="center"/>
    </xf>
    <xf fontId="22" fillId="0" borderId="55" numFmtId="0" xfId="0" applyFont="1" applyBorder="1">
      <alignment horizontal="right" vertical="center"/>
    </xf>
    <xf fontId="22" fillId="0" borderId="55" numFmtId="0" xfId="0" applyFont="1" applyBorder="1">
      <alignment horizontal="center" vertical="center"/>
    </xf>
    <xf fontId="22" fillId="0" borderId="15" numFmtId="0" xfId="0" applyFont="1" applyBorder="1">
      <alignment horizontal="right" vertical="center"/>
    </xf>
    <xf fontId="22" fillId="0" borderId="13" numFmtId="0" xfId="0" applyFont="1" applyBorder="1">
      <alignment horizontal="right" vertical="center"/>
    </xf>
    <xf fontId="22" fillId="35" borderId="12" numFmtId="0" xfId="0" applyFont="1" applyFill="1" applyBorder="1">
      <alignment horizontal="center" vertical="center"/>
    </xf>
    <xf fontId="22" fillId="40" borderId="12" numFmtId="0" xfId="0" applyFont="1" applyFill="1" applyBorder="1">
      <alignment horizontal="left" indent="1" vertical="center" wrapText="1"/>
    </xf>
    <xf fontId="22" fillId="39" borderId="12" numFmtId="0" xfId="0" applyFont="1" applyFill="1" applyBorder="1">
      <alignment horizontal="left" indent="1" vertical="center" wrapText="1"/>
      <protection locked="0"/>
    </xf>
    <xf fontId="22" fillId="41" borderId="12" numFmtId="0" xfId="0" applyFont="1" applyFill="1" applyBorder="1">
      <alignment horizontal="right" vertical="center"/>
    </xf>
    <xf fontId="22" fillId="36" borderId="12" numFmtId="4" xfId="0" applyNumberFormat="1" applyFont="1" applyFill="1" applyBorder="1">
      <alignment horizontal="right" vertical="center"/>
      <protection locked="0"/>
    </xf>
    <xf fontId="39" fillId="37" borderId="56" numFmtId="49" xfId="0" applyNumberFormat="1" applyFont="1" applyFill="1" applyBorder="1">
      <alignment horizontal="left" indent="1" vertical="center"/>
    </xf>
    <xf fontId="39" fillId="37" borderId="51" numFmtId="49" xfId="0" applyNumberFormat="1" applyFont="1" applyFill="1" applyBorder="1">
      <alignment horizontal="left" indent="1" vertical="center"/>
    </xf>
    <xf fontId="39" fillId="52" borderId="13" numFmtId="49" xfId="0" applyNumberFormat="1" applyFont="1" applyFill="1" applyBorder="1">
      <alignment horizontal="left" indent="1" vertical="center"/>
    </xf>
    <xf fontId="22" fillId="0" borderId="0" numFmtId="49" xfId="0" applyNumberFormat="1" applyFont="1">
      <alignment vertical="top"/>
    </xf>
    <xf fontId="22" fillId="48" borderId="0" numFmtId="0" xfId="0" applyFont="1" applyFill="1">
      <alignment horizontal="left" vertical="center"/>
    </xf>
    <xf fontId="22" fillId="0" borderId="0" numFmtId="49" xfId="0" applyNumberFormat="1" applyFont="1">
      <alignment vertical="center" wrapText="1"/>
    </xf>
    <xf fontId="22" fillId="0" borderId="0" numFmtId="0" xfId="0" applyFont="1">
      <alignment horizontal="right" vertical="center" wrapText="1"/>
    </xf>
    <xf fontId="47" fillId="0" borderId="0" numFmtId="0" xfId="0" applyFont="1">
      <alignment horizontal="center" vertical="center" wrapText="1"/>
    </xf>
    <xf fontId="0" fillId="0" borderId="12" numFmtId="0" xfId="0" applyFont="1" applyBorder="1">
      <alignment horizontal="center" vertical="center" wrapText="1"/>
    </xf>
    <xf fontId="0" fillId="0" borderId="12" numFmtId="0" xfId="0" applyFont="1" applyBorder="1">
      <alignment horizontal="center" vertical="center" wrapText="1"/>
    </xf>
    <xf fontId="22" fillId="0" borderId="12" numFmtId="49" xfId="0" applyNumberFormat="1" applyFont="1" applyBorder="1">
      <alignment horizontal="left" vertical="center" wrapText="1"/>
    </xf>
    <xf fontId="22" fillId="35" borderId="12" numFmtId="0" xfId="0" applyFont="1" applyFill="1" applyBorder="1">
      <alignment horizontal="left" vertical="center" wrapText="1"/>
    </xf>
    <xf fontId="0" fillId="0" borderId="12" numFmtId="49" xfId="0" applyNumberFormat="1" applyFont="1" applyBorder="1">
      <alignment horizontal="center" vertical="center" wrapText="1"/>
    </xf>
    <xf fontId="0" fillId="0" borderId="12" numFmtId="49" xfId="0" applyNumberFormat="1" applyFont="1" applyBorder="1">
      <alignment horizontal="center" vertical="center"/>
    </xf>
    <xf fontId="22" fillId="35" borderId="19" numFmtId="0" xfId="0" applyFont="1" applyFill="1" applyBorder="1">
      <alignment vertical="center" wrapText="1"/>
    </xf>
    <xf fontId="47" fillId="0" borderId="0" numFmtId="49" xfId="0" applyNumberFormat="1" applyFont="1">
      <alignment vertical="top"/>
    </xf>
    <xf fontId="47" fillId="0" borderId="39" numFmtId="0" xfId="0" applyFont="1" applyBorder="1">
      <alignment vertical="center" wrapText="1"/>
    </xf>
    <xf fontId="0" fillId="0" borderId="12" numFmtId="49" xfId="0" applyNumberFormat="1" applyFont="1" applyBorder="1">
      <alignment horizontal="center" vertical="center"/>
    </xf>
    <xf fontId="0" fillId="0" borderId="12" numFmtId="49" xfId="0" applyNumberFormat="1" applyFont="1" applyBorder="1">
      <alignment horizontal="center" vertical="center" wrapText="1"/>
    </xf>
    <xf fontId="0" fillId="34" borderId="12" numFmtId="49" xfId="0" applyNumberFormat="1" applyFont="1" applyFill="1" applyBorder="1">
      <alignment horizontal="center" vertical="center"/>
    </xf>
    <xf fontId="22" fillId="0" borderId="22" numFmtId="49" xfId="0" applyNumberFormat="1" applyFont="1" applyBorder="1">
      <alignment vertical="top"/>
    </xf>
    <xf fontId="22" fillId="0" borderId="22" numFmtId="0" xfId="0" applyFont="1" applyBorder="1">
      <alignment vertical="center" wrapText="1"/>
    </xf>
    <xf fontId="0" fillId="36" borderId="12" numFmtId="4" xfId="0" applyNumberFormat="1" applyFont="1" applyFill="1" applyBorder="1">
      <alignment horizontal="right" vertical="center" wrapText="1"/>
      <protection locked="0"/>
    </xf>
    <xf fontId="0" fillId="34" borderId="12" numFmtId="4" xfId="0" applyNumberFormat="1" applyFont="1" applyFill="1" applyBorder="1">
      <alignment horizontal="right" vertical="center" wrapText="1"/>
    </xf>
    <xf fontId="0" fillId="0" borderId="12" numFmtId="49" xfId="0" applyNumberFormat="1" applyFont="1" applyBorder="1">
      <alignment horizontal="left" indent="2" vertical="center" wrapText="1"/>
    </xf>
    <xf fontId="0" fillId="0" borderId="12" numFmtId="49" xfId="0" applyNumberFormat="1" applyFont="1" applyBorder="1">
      <alignment horizontal="left" indent="3" vertical="center" wrapText="1"/>
    </xf>
    <xf fontId="0" fillId="0" borderId="12" numFmtId="49" xfId="0" applyNumberFormat="1" applyFont="1" applyBorder="1">
      <alignment horizontal="left" vertical="center" wrapText="1"/>
    </xf>
    <xf fontId="22" fillId="0" borderId="38" numFmtId="0" xfId="0" applyFont="1" applyBorder="1">
      <alignment vertical="center"/>
    </xf>
    <xf fontId="39" fillId="37" borderId="15" numFmtId="49" xfId="0" applyNumberFormat="1" applyFont="1" applyFill="1" applyBorder="1">
      <alignment horizontal="left" indent="1" vertical="center"/>
    </xf>
    <xf fontId="22" fillId="39" borderId="17" numFmtId="49" xfId="0" applyNumberFormat="1" applyFont="1" applyFill="1" applyBorder="1">
      <alignment horizontal="left" indent="1" vertical="center" wrapText="1"/>
      <protection locked="0"/>
    </xf>
    <xf fontId="45" fillId="0" borderId="0" numFmtId="0" xfId="0" applyFont="1">
      <alignment vertical="center" wrapText="1"/>
    </xf>
    <xf fontId="22" fillId="35" borderId="27" numFmtId="0" xfId="0" applyFont="1" applyFill="1" applyBorder="1">
      <alignment vertical="center" wrapText="1"/>
    </xf>
    <xf fontId="47" fillId="35" borderId="19" numFmtId="0" xfId="0" applyFont="1" applyFill="1" applyBorder="1">
      <alignment horizontal="center" vertical="center" wrapText="1"/>
    </xf>
    <xf fontId="72" fillId="0" borderId="0" numFmtId="49" xfId="0" applyNumberFormat="1" applyFont="1">
      <alignment vertical="center" wrapText="1"/>
    </xf>
    <xf fontId="106" fillId="35" borderId="0" numFmtId="0" xfId="0" applyFont="1" applyFill="1">
      <alignment vertical="center" wrapText="1"/>
    </xf>
    <xf fontId="22" fillId="0" borderId="0" numFmtId="0" xfId="0" applyFont="1">
      <alignment vertical="center"/>
    </xf>
    <xf fontId="47" fillId="35" borderId="0" numFmtId="49" xfId="0" applyNumberFormat="1" applyFont="1" applyFill="1">
      <alignment horizontal="center" vertical="center" wrapText="1"/>
    </xf>
    <xf fontId="22" fillId="0" borderId="0" numFmtId="0" xfId="0" applyFont="1">
      <alignment horizontal="left" vertical="center" wrapText="1"/>
    </xf>
    <xf fontId="47" fillId="0" borderId="0" numFmtId="0" xfId="0" applyFont="1">
      <alignment vertical="center"/>
    </xf>
    <xf fontId="22" fillId="0" borderId="0" numFmtId="0" xfId="0" applyFont="1">
      <alignment horizontal="left" indent="1" vertical="center" wrapText="1"/>
    </xf>
    <xf fontId="22" fillId="0" borderId="0" numFmtId="0" xfId="0" applyFont="1">
      <alignment horizontal="right" vertical="top" wrapText="1"/>
    </xf>
    <xf fontId="107" fillId="35" borderId="0" numFmtId="0" xfId="0" applyFont="1" applyFill="1">
      <alignment vertical="center" wrapText="1"/>
    </xf>
    <xf fontId="80" fillId="35" borderId="19" numFmtId="49" xfId="0" applyNumberFormat="1" applyFont="1" applyFill="1" applyBorder="1">
      <alignment horizontal="center" vertical="center" wrapText="1"/>
    </xf>
    <xf fontId="80" fillId="35" borderId="19" numFmtId="0" xfId="0" applyFont="1" applyFill="1" applyBorder="1">
      <alignment horizontal="center" vertical="center" wrapText="1"/>
    </xf>
    <xf fontId="22" fillId="36" borderId="12" numFmtId="188" xfId="0" applyNumberFormat="1" applyFont="1" applyFill="1" applyBorder="1">
      <alignment horizontal="right" vertical="center" wrapText="1"/>
      <protection locked="0"/>
    </xf>
    <xf fontId="44" fillId="0" borderId="12" numFmtId="0" xfId="0" applyFont="1" applyBorder="1">
      <alignment vertical="top" wrapText="1"/>
    </xf>
    <xf fontId="22" fillId="0" borderId="0" numFmtId="0" xfId="0" applyFont="1">
      <alignment vertical="center"/>
    </xf>
    <xf fontId="108" fillId="0" borderId="0" numFmtId="0" xfId="0" applyFont="1">
      <alignment vertical="center"/>
    </xf>
    <xf fontId="108" fillId="0" borderId="0" numFmtId="0" xfId="0" applyFont="1">
      <alignment vertical="center"/>
    </xf>
    <xf fontId="22" fillId="0" borderId="0" numFmtId="0" xfId="0" applyFont="1">
      <alignment vertical="center"/>
    </xf>
    <xf fontId="22" fillId="0" borderId="0" numFmtId="0" xfId="0" applyFont="1">
      <alignment vertical="center"/>
    </xf>
    <xf fontId="108" fillId="0" borderId="0" numFmtId="0" xfId="0" applyFont="1">
      <alignment vertical="center"/>
    </xf>
    <xf fontId="22" fillId="0" borderId="0" numFmtId="0" xfId="0" applyFont="1">
      <alignment vertical="center"/>
    </xf>
    <xf fontId="22" fillId="0" borderId="0" numFmtId="0" xfId="0" applyFont="1">
      <alignment vertical="center"/>
    </xf>
    <xf fontId="22" fillId="0" borderId="0" numFmtId="0" xfId="0" applyFont="1">
      <alignment horizontal="left" indent="1" vertical="center"/>
    </xf>
    <xf fontId="109" fillId="37" borderId="15" numFmtId="49" xfId="0" applyNumberFormat="1" applyFont="1" applyFill="1" applyBorder="1">
      <alignment horizontal="left" indent="3" vertical="center"/>
    </xf>
    <xf fontId="72" fillId="37" borderId="15" numFmtId="49" xfId="0" applyNumberFormat="1" applyFont="1" applyFill="1" applyBorder="1">
      <alignment horizontal="center" vertical="center" wrapText="1"/>
    </xf>
    <xf fontId="67" fillId="37" borderId="15" numFmtId="49" xfId="0" applyNumberFormat="1" applyFont="1" applyFill="1" applyBorder="1">
      <alignment horizontal="center" vertical="center" wrapText="1"/>
    </xf>
    <xf fontId="67" fillId="37" borderId="13" numFmtId="49" xfId="0" applyNumberFormat="1" applyFont="1" applyFill="1" applyBorder="1">
      <alignment horizontal="center" vertical="center" wrapText="1"/>
    </xf>
    <xf fontId="109" fillId="37" borderId="15" numFmtId="49" xfId="0" applyNumberFormat="1" applyFont="1" applyFill="1" applyBorder="1">
      <alignment horizontal="left" indent="2" vertical="center"/>
    </xf>
    <xf fontId="109" fillId="37" borderId="15" numFmtId="49" xfId="0" applyNumberFormat="1" applyFont="1" applyFill="1" applyBorder="1">
      <alignment horizontal="left" indent="1" vertical="center"/>
    </xf>
    <xf fontId="109" fillId="37" borderId="15" numFmtId="49" xfId="0" applyNumberFormat="1" applyFont="1" applyFill="1" applyBorder="1">
      <alignment horizontal="left" vertical="center"/>
    </xf>
    <xf fontId="22" fillId="35" borderId="0" numFmtId="0" xfId="0" applyFont="1" applyFill="1">
      <alignment horizontal="left" vertical="center" wrapText="1"/>
    </xf>
    <xf fontId="0" fillId="0" borderId="0" numFmtId="0" xfId="0" applyFont="1">
      <alignment horizontal="left" vertical="center"/>
    </xf>
    <xf fontId="80" fillId="35" borderId="19" numFmtId="49" xfId="0" applyNumberFormat="1" applyFont="1" applyFill="1" applyBorder="1">
      <alignment horizontal="left" vertical="center" wrapText="1"/>
    </xf>
    <xf fontId="73" fillId="37" borderId="14" numFmtId="49" xfId="0" applyNumberFormat="1" applyFont="1" applyFill="1" applyBorder="1">
      <alignment horizontal="left" vertical="center"/>
    </xf>
    <xf fontId="101" fillId="37" borderId="14" numFmtId="49" xfId="0" applyNumberFormat="1" applyFont="1" applyFill="1" applyBorder="1">
      <alignment horizontal="left" vertical="center"/>
    </xf>
    <xf fontId="67" fillId="37" borderId="14" numFmtId="49" xfId="0" applyNumberFormat="1" applyFont="1" applyFill="1" applyBorder="1">
      <alignment horizontal="left" vertical="top"/>
    </xf>
    <xf fontId="0" fillId="48" borderId="0" numFmtId="0" xfId="0" applyFont="1" applyFill="1">
      <alignment horizontal="right" vertical="center"/>
    </xf>
    <xf fontId="47" fillId="0" borderId="12" numFmtId="0" xfId="0" applyFont="1" applyBorder="1">
      <alignment horizontal="center" vertical="center"/>
    </xf>
    <xf fontId="0" fillId="0" borderId="0" numFmtId="0" xfId="0" applyFont="1">
      <alignment vertical="center"/>
    </xf>
    <xf fontId="22" fillId="0" borderId="12" numFmtId="0" xfId="0" applyFont="1" applyBorder="1">
      <alignment horizontal="center" vertical="center" wrapText="1"/>
    </xf>
    <xf fontId="0" fillId="0" borderId="0" numFmtId="0" xfId="0" applyFont="1">
      <alignment horizontal="left" vertical="top" wrapText="1"/>
    </xf>
    <xf fontId="22" fillId="0" borderId="0" numFmtId="49" xfId="0" applyNumberFormat="1" applyFont="1">
      <alignment vertical="center" wrapText="1"/>
    </xf>
    <xf fontId="22" fillId="0" borderId="0" numFmtId="0" xfId="0" applyFont="1">
      <alignment horizontal="right" vertical="center" wrapText="1"/>
    </xf>
    <xf fontId="22" fillId="0" borderId="0" numFmtId="0" xfId="0" applyFont="1">
      <alignment horizontal="left" vertical="top" wrapText="1"/>
    </xf>
    <xf fontId="80" fillId="35" borderId="19" numFmtId="0" xfId="0" applyFont="1" applyFill="1" applyBorder="1">
      <alignment horizontal="center" vertical="center" wrapText="1"/>
    </xf>
    <xf fontId="22" fillId="0" borderId="0" numFmtId="0" xfId="0" applyFont="1">
      <alignment horizontal="center" vertical="center" wrapText="1"/>
    </xf>
    <xf fontId="47" fillId="0" borderId="0" numFmtId="0" xfId="0" applyFont="1">
      <alignment horizontal="center" vertical="center" wrapText="1"/>
    </xf>
    <xf fontId="0" fillId="0" borderId="12" numFmtId="0" xfId="0" applyFont="1" applyBorder="1">
      <alignment horizontal="center" vertical="center" wrapText="1"/>
    </xf>
    <xf fontId="22" fillId="35" borderId="12" numFmtId="0" xfId="0" applyFont="1" applyFill="1" applyBorder="1">
      <alignment horizontal="left" vertical="center" wrapText="1"/>
    </xf>
    <xf fontId="22" fillId="0" borderId="12" numFmtId="49" xfId="0" applyNumberFormat="1" applyFont="1" applyBorder="1">
      <alignment horizontal="left" vertical="center" wrapText="1"/>
    </xf>
    <xf fontId="54" fillId="48" borderId="0" numFmtId="0" xfId="0" applyFont="1" applyFill="1">
      <alignment horizontal="left" vertical="center"/>
    </xf>
    <xf fontId="22" fillId="0" borderId="20" numFmtId="49" xfId="0" applyNumberFormat="1" applyFont="1" applyBorder="1">
      <alignment horizontal="left" vertical="center" wrapText="1"/>
    </xf>
    <xf fontId="39" fillId="0" borderId="0" numFmtId="0" xfId="0" applyFont="1">
      <alignment horizontal="left" vertical="center"/>
    </xf>
    <xf fontId="39" fillId="0" borderId="24" numFmtId="0" xfId="0" applyFont="1" applyBorder="1">
      <alignment horizontal="left" vertical="center"/>
    </xf>
    <xf fontId="39" fillId="0" borderId="30" numFmtId="0" xfId="0" applyFont="1" applyBorder="1">
      <alignment horizontal="left" vertical="center"/>
    </xf>
    <xf fontId="39" fillId="0" borderId="27" numFmtId="0" xfId="0" applyFont="1" applyBorder="1">
      <alignment horizontal="left" vertical="center"/>
    </xf>
    <xf fontId="0" fillId="0" borderId="27" numFmtId="0" xfId="0" applyFont="1" applyBorder="1">
      <alignment vertical="center"/>
    </xf>
    <xf fontId="39" fillId="0" borderId="29" numFmtId="0" xfId="0" applyFont="1" applyBorder="1">
      <alignment horizontal="left" vertical="center"/>
    </xf>
    <xf fontId="22" fillId="0" borderId="0" numFmtId="49" xfId="0" applyNumberFormat="1" applyFont="1">
      <alignment vertical="center" wrapText="1"/>
    </xf>
    <xf fontId="22" fillId="0" borderId="0" numFmtId="0" xfId="0" applyFont="1">
      <alignment horizontal="center" vertical="center" wrapText="1"/>
    </xf>
    <xf fontId="47" fillId="0" borderId="0" numFmtId="0" xfId="0" applyFont="1">
      <alignment horizontal="center" vertical="center" wrapText="1"/>
    </xf>
    <xf fontId="22" fillId="0" borderId="12" numFmtId="49" xfId="0" applyNumberFormat="1" applyFont="1" applyBorder="1">
      <alignment horizontal="left" vertical="center" wrapText="1"/>
    </xf>
    <xf fontId="44" fillId="0" borderId="17" numFmtId="0" xfId="0" applyFont="1" applyBorder="1">
      <alignment vertical="top" wrapText="1"/>
    </xf>
    <xf fontId="0" fillId="0" borderId="0" numFmtId="0" xfId="0" applyFont="1">
      <alignment vertical="center"/>
    </xf>
    <xf fontId="22" fillId="35" borderId="12" numFmtId="0" xfId="0" applyFont="1" applyFill="1" applyBorder="1">
      <alignment horizontal="left" vertical="center" wrapText="1"/>
    </xf>
    <xf fontId="22" fillId="0" borderId="0" numFmtId="0" xfId="0" applyFont="1">
      <alignment horizontal="center" vertical="center"/>
    </xf>
    <xf fontId="22" fillId="0" borderId="0" numFmtId="49" xfId="0" applyNumberFormat="1" applyFont="1">
      <alignment vertical="center" wrapText="1"/>
    </xf>
    <xf fontId="80" fillId="35" borderId="19" numFmtId="0" xfId="0" applyFont="1" applyFill="1" applyBorder="1">
      <alignment horizontal="center" vertical="center" wrapText="1"/>
    </xf>
    <xf fontId="0" fillId="0" borderId="12" numFmtId="0" xfId="0" applyFont="1" applyBorder="1">
      <alignment horizontal="center" vertical="center" wrapText="1"/>
    </xf>
    <xf fontId="47" fillId="0" borderId="0" numFmtId="0" xfId="0" applyFont="1">
      <alignment horizontal="left" indent="1" vertical="center"/>
    </xf>
    <xf fontId="47" fillId="0" borderId="0" numFmtId="0" xfId="0" applyFont="1">
      <alignment horizontal="left" vertical="center" wrapText="1"/>
    </xf>
    <xf fontId="47" fillId="0" borderId="0" numFmtId="49" xfId="0" applyNumberFormat="1" applyFont="1">
      <alignment vertical="top"/>
    </xf>
    <xf fontId="107" fillId="0" borderId="0" numFmtId="49" xfId="0" applyNumberFormat="1" applyFont="1">
      <alignment vertical="top"/>
    </xf>
    <xf fontId="97" fillId="0" borderId="19" numFmtId="49" xfId="0" applyNumberFormat="1" applyFont="1" applyBorder="1">
      <alignment horizontal="left" vertical="center"/>
    </xf>
    <xf fontId="47" fillId="0" borderId="19" numFmtId="49" xfId="0" applyNumberFormat="1" applyFont="1" applyBorder="1">
      <alignment horizontal="left" indent="3" vertical="center"/>
    </xf>
    <xf fontId="47" fillId="0" borderId="19" numFmtId="49" xfId="0" applyNumberFormat="1" applyFont="1" applyBorder="1">
      <alignment horizontal="center" vertical="center" wrapText="1"/>
    </xf>
    <xf fontId="47" fillId="0" borderId="0" numFmtId="49" xfId="0" applyNumberFormat="1" applyFont="1">
      <alignment horizontal="left" vertical="center"/>
    </xf>
    <xf fontId="97" fillId="0" borderId="0" numFmtId="49" xfId="0" applyNumberFormat="1" applyFont="1">
      <alignment horizontal="left" vertical="center"/>
    </xf>
    <xf fontId="47" fillId="0" borderId="0" numFmtId="49" xfId="0" applyNumberFormat="1" applyFont="1">
      <alignment horizontal="left" indent="2" vertical="center"/>
    </xf>
    <xf fontId="47" fillId="0" borderId="0" numFmtId="49" xfId="0" applyNumberFormat="1" applyFont="1">
      <alignment horizontal="center" vertical="center" wrapText="1"/>
    </xf>
    <xf fontId="47" fillId="0" borderId="0" numFmtId="49" xfId="0" applyNumberFormat="1" applyFont="1">
      <alignment horizontal="left" indent="1" vertical="center"/>
    </xf>
    <xf fontId="0" fillId="0" borderId="0" numFmtId="0" xfId="0" applyFont="1">
      <alignment vertical="center"/>
    </xf>
    <xf fontId="22" fillId="0" borderId="0" numFmtId="0" xfId="0" applyFont="1">
      <alignment horizontal="center" vertical="center" wrapText="1"/>
    </xf>
    <xf fontId="22" fillId="0" borderId="0" numFmtId="49" xfId="0" applyNumberFormat="1" applyFont="1">
      <alignment vertical="center" wrapText="1"/>
    </xf>
    <xf fontId="46" fillId="0" borderId="0" numFmtId="0" xfId="0" applyFont="1">
      <alignment horizontal="center" vertical="center" wrapText="1"/>
    </xf>
    <xf fontId="22" fillId="35" borderId="12" numFmtId="0" xfId="0" applyFont="1" applyFill="1" applyBorder="1">
      <alignment horizontal="center" vertical="center" wrapText="1"/>
    </xf>
    <xf fontId="47" fillId="0" borderId="0" numFmtId="0" xfId="0" applyFont="1">
      <alignment horizontal="center" vertical="center" wrapText="1"/>
    </xf>
    <xf fontId="22" fillId="0" borderId="0" numFmtId="0" xfId="0" applyFont="1">
      <alignment horizontal="center" vertical="center" wrapText="1"/>
    </xf>
    <xf fontId="22" fillId="0" borderId="0" numFmtId="0" xfId="0" applyFont="1">
      <alignment horizontal="left" vertical="top" wrapText="1"/>
    </xf>
    <xf fontId="0" fillId="0" borderId="13" numFmtId="0" xfId="0" applyFont="1" applyBorder="1">
      <alignment horizontal="center" vertical="center" wrapText="1"/>
    </xf>
    <xf fontId="80" fillId="35" borderId="19" numFmtId="0" xfId="0" applyFont="1" applyFill="1" applyBorder="1">
      <alignment horizontal="center" vertical="center" wrapText="1"/>
    </xf>
    <xf fontId="22" fillId="35" borderId="12" numFmtId="0" xfId="0" applyFont="1" applyFill="1" applyBorder="1">
      <alignment horizontal="left" vertical="center" wrapText="1"/>
    </xf>
    <xf fontId="22" fillId="35" borderId="12" numFmtId="49" xfId="0" applyNumberFormat="1" applyFont="1" applyFill="1" applyBorder="1">
      <alignment horizontal="center" vertical="center" wrapText="1"/>
    </xf>
    <xf fontId="0" fillId="0" borderId="12" numFmtId="0" xfId="0" applyFont="1" applyBorder="1">
      <alignment horizontal="center" vertical="center" wrapText="1"/>
    </xf>
    <xf fontId="47" fillId="0" borderId="0" numFmtId="0" xfId="0" applyFont="1">
      <alignment horizontal="center" vertical="center"/>
    </xf>
    <xf fontId="22" fillId="0" borderId="0" numFmtId="0" xfId="0" applyFont="1">
      <alignment horizontal="right" vertical="center" wrapText="1"/>
    </xf>
    <xf fontId="80" fillId="35" borderId="0" numFmtId="0" xfId="0" applyFont="1" applyFill="1">
      <alignment horizontal="center" vertical="center" wrapText="1"/>
    </xf>
    <xf fontId="22" fillId="0" borderId="12" numFmtId="49" xfId="0" applyNumberFormat="1" applyFont="1" applyBorder="1">
      <alignment horizontal="left" vertical="center" wrapText="1"/>
    </xf>
    <xf fontId="47" fillId="0" borderId="0" numFmtId="0" xfId="0" applyFont="1">
      <alignment horizontal="left" indent="1" vertical="center"/>
    </xf>
    <xf fontId="107" fillId="0" borderId="0" numFmtId="49" xfId="0" applyNumberFormat="1" applyFont="1">
      <alignment vertical="top"/>
    </xf>
    <xf fontId="22" fillId="0" borderId="12" numFmtId="49" xfId="0" applyNumberFormat="1" applyFont="1" applyBorder="1">
      <alignment vertical="center" wrapText="1"/>
    </xf>
    <xf fontId="47" fillId="0" borderId="0" numFmtId="0" xfId="0" applyFont="1">
      <alignment horizontal="center" vertical="center"/>
    </xf>
    <xf fontId="22" fillId="40" borderId="12" numFmtId="0" xfId="0" applyFont="1" applyFill="1" applyBorder="1">
      <alignment horizontal="left" indent="6" vertical="center" wrapText="1"/>
    </xf>
    <xf fontId="22" fillId="0" borderId="17" numFmtId="4" xfId="0" applyNumberFormat="1" applyFont="1" applyBorder="1">
      <alignment horizontal="right" vertical="center" wrapText="1"/>
    </xf>
    <xf fontId="22" fillId="0" borderId="23" numFmtId="4" xfId="0" applyNumberFormat="1" applyFont="1" applyBorder="1">
      <alignment horizontal="right" vertical="center" wrapText="1"/>
    </xf>
    <xf fontId="0" fillId="0" borderId="0" numFmtId="0" xfId="0" applyFont="1">
      <alignment vertical="center"/>
    </xf>
    <xf fontId="22" fillId="0" borderId="0" numFmtId="49" xfId="0" applyNumberFormat="1" applyFont="1">
      <alignment vertical="center" wrapText="1"/>
    </xf>
    <xf fontId="22" fillId="0" borderId="17" numFmtId="0" xfId="0" applyFont="1" applyBorder="1">
      <alignment horizontal="center" vertical="center" wrapText="1"/>
    </xf>
    <xf fontId="80" fillId="35" borderId="19" numFmtId="0" xfId="0" applyFont="1" applyFill="1" applyBorder="1">
      <alignment horizontal="center" vertical="center" wrapText="1"/>
    </xf>
    <xf fontId="47" fillId="0" borderId="0" numFmtId="0" xfId="0" applyFont="1">
      <alignment horizontal="center" vertical="center" wrapText="1"/>
    </xf>
    <xf fontId="22" fillId="0" borderId="0" numFmtId="0" xfId="0" applyFont="1">
      <alignment horizontal="right" vertical="center" wrapText="1"/>
    </xf>
    <xf fontId="22" fillId="0" borderId="0" numFmtId="0" xfId="0" applyFont="1">
      <alignment horizontal="center" vertical="center" wrapText="1"/>
    </xf>
    <xf fontId="0" fillId="0" borderId="12" numFmtId="0" xfId="0" applyFont="1" applyBorder="1">
      <alignment horizontal="center" vertical="center" wrapText="1"/>
    </xf>
    <xf fontId="22" fillId="35" borderId="12" numFmtId="0" xfId="0" applyFont="1" applyFill="1" applyBorder="1">
      <alignment horizontal="left" vertical="center" wrapText="1"/>
    </xf>
    <xf fontId="22" fillId="0" borderId="12" numFmtId="49" xfId="0" applyNumberFormat="1" applyFont="1" applyBorder="1">
      <alignment horizontal="left" vertical="center" wrapText="1"/>
    </xf>
    <xf fontId="46" fillId="0" borderId="12" numFmtId="4" xfId="0" applyNumberFormat="1" applyFont="1" applyBorder="1">
      <alignment horizontal="right" vertical="center" wrapText="1"/>
    </xf>
    <xf fontId="46" fillId="0" borderId="12" numFmtId="188" xfId="0" applyNumberFormat="1" applyFont="1" applyBorder="1">
      <alignment horizontal="right" vertical="center" wrapText="1"/>
    </xf>
    <xf fontId="46" fillId="0" borderId="0" numFmtId="49" xfId="0" applyNumberFormat="1" applyFont="1">
      <alignment vertical="center" wrapText="1"/>
    </xf>
    <xf fontId="46" fillId="0" borderId="0" numFmtId="0" xfId="0" applyFont="1">
      <alignment horizontal="left" indent="1" vertical="center"/>
    </xf>
    <xf fontId="46" fillId="0" borderId="0" numFmtId="0" xfId="0" applyFont="1">
      <alignment horizontal="center" vertical="center"/>
    </xf>
    <xf fontId="46" fillId="0" borderId="0" numFmtId="0" xfId="0" applyFont="1">
      <alignment horizontal="left" vertical="center" wrapText="1"/>
    </xf>
    <xf fontId="46" fillId="0" borderId="0" numFmtId="0" xfId="0" applyFont="1">
      <alignment vertical="center" wrapText="1"/>
    </xf>
    <xf fontId="46" fillId="0" borderId="12" numFmtId="49" xfId="0" applyNumberFormat="1" applyFont="1" applyBorder="1">
      <alignment vertical="center" wrapText="1"/>
    </xf>
    <xf fontId="46" fillId="0" borderId="0" numFmtId="0" xfId="0" applyFont="1">
      <alignment vertical="center"/>
    </xf>
    <xf fontId="46" fillId="0" borderId="0" numFmtId="0" xfId="0" applyFont="1">
      <alignment horizontal="center" vertical="center"/>
    </xf>
    <xf fontId="46" fillId="0" borderId="0" numFmtId="0" xfId="0" applyFont="1">
      <alignment vertical="center"/>
    </xf>
    <xf fontId="69" fillId="0" borderId="0" numFmtId="0" xfId="0" applyFont="1">
      <alignment vertical="center" wrapText="1"/>
    </xf>
    <xf fontId="0" fillId="0" borderId="15" numFmtId="0" xfId="0" applyFont="1" applyBorder="1">
      <alignment vertical="center"/>
    </xf>
    <xf fontId="47" fillId="0" borderId="12" numFmtId="0" xfId="0" applyFont="1" applyBorder="1">
      <alignment horizontal="center" vertical="center" wrapText="1"/>
    </xf>
    <xf fontId="72" fillId="0" borderId="0" numFmtId="0" xfId="0" applyFont="1">
      <alignment horizontal="left" indent="1" vertical="center"/>
    </xf>
    <xf fontId="72" fillId="0" borderId="0" numFmtId="0" xfId="0" applyFont="1">
      <alignment horizontal="left" indent="1" vertical="center"/>
    </xf>
    <xf fontId="47" fillId="0" borderId="12" numFmtId="0" xfId="0" applyFont="1" applyBorder="1">
      <alignment vertical="center" wrapText="1"/>
    </xf>
    <xf fontId="72" fillId="0" borderId="0" numFmtId="0" xfId="0" applyFont="1">
      <alignment horizontal="center" vertical="center"/>
    </xf>
    <xf fontId="72" fillId="0" borderId="0" numFmtId="0" xfId="0" applyFont="1">
      <alignment horizontal="left" vertical="center" wrapText="1"/>
    </xf>
    <xf fontId="72" fillId="0" borderId="0" numFmtId="49" xfId="0" applyNumberFormat="1" applyFont="1">
      <alignment horizontal="left" vertical="center"/>
    </xf>
    <xf fontId="22" fillId="0" borderId="0" numFmtId="0" xfId="0" applyFont="1">
      <alignment horizontal="center" vertical="center"/>
    </xf>
    <xf fontId="72" fillId="0" borderId="0" numFmtId="0" xfId="0" applyFont="1">
      <alignment horizontal="center" vertical="center"/>
    </xf>
    <xf fontId="22" fillId="0" borderId="13" numFmtId="4" xfId="0" applyNumberFormat="1" applyFont="1" applyBorder="1">
      <alignment horizontal="right" vertical="center" wrapText="1"/>
    </xf>
    <xf fontId="47" fillId="0" borderId="12" numFmtId="0" xfId="0" applyFont="1" applyBorder="1">
      <alignment horizontal="left" indent="4" vertical="center" wrapText="1"/>
    </xf>
    <xf fontId="47" fillId="0" borderId="12" numFmtId="0" xfId="0" applyFont="1" applyBorder="1">
      <alignment horizontal="left" indent="6" vertical="center" wrapText="1"/>
    </xf>
    <xf fontId="47" fillId="0" borderId="12" numFmtId="0" xfId="0" applyFont="1" applyBorder="1">
      <alignment vertical="top" wrapText="1"/>
    </xf>
    <xf fontId="97" fillId="0" borderId="14" numFmtId="49" xfId="0" applyNumberFormat="1" applyFont="1" applyBorder="1">
      <alignment horizontal="left" vertical="center"/>
    </xf>
    <xf fontId="47" fillId="0" borderId="15" numFmtId="49" xfId="0" applyNumberFormat="1" applyFont="1" applyBorder="1">
      <alignment horizontal="left" indent="4" vertical="center"/>
    </xf>
    <xf fontId="47" fillId="0" borderId="15" numFmtId="49" xfId="0" applyNumberFormat="1" applyFont="1" applyBorder="1">
      <alignment horizontal="center" vertical="center" wrapText="1"/>
    </xf>
    <xf fontId="47" fillId="0" borderId="13" numFmtId="49" xfId="0" applyNumberFormat="1" applyFont="1" applyBorder="1">
      <alignment horizontal="center" vertical="center" wrapText="1"/>
    </xf>
    <xf fontId="22" fillId="0" borderId="36" numFmtId="4" xfId="0" applyNumberFormat="1" applyFont="1" applyBorder="1">
      <alignment horizontal="right" vertical="center" wrapText="1"/>
    </xf>
    <xf fontId="22" fillId="36" borderId="12" numFmtId="0" xfId="0" applyFont="1" applyFill="1" applyBorder="1">
      <alignment horizontal="left" indent="7" vertical="center" wrapText="1"/>
      <protection locked="0"/>
    </xf>
    <xf fontId="22" fillId="37" borderId="15" numFmtId="0" xfId="0" applyFont="1" applyFill="1" applyBorder="1">
      <alignment horizontal="left" indent="6" vertical="center" wrapText="1"/>
    </xf>
    <xf fontId="22" fillId="37" borderId="15" numFmtId="4" xfId="0" applyNumberFormat="1" applyFont="1" applyFill="1" applyBorder="1">
      <alignment horizontal="right" vertical="center" wrapText="1"/>
    </xf>
    <xf fontId="47" fillId="37" borderId="15" numFmtId="4" xfId="0" applyNumberFormat="1" applyFont="1" applyFill="1" applyBorder="1">
      <alignment horizontal="center" vertical="center" wrapText="1"/>
    </xf>
    <xf fontId="22" fillId="37" borderId="13" numFmtId="4" xfId="0" applyNumberFormat="1" applyFont="1" applyFill="1" applyBorder="1">
      <alignment horizontal="right" vertical="center" wrapText="1"/>
    </xf>
    <xf fontId="47" fillId="37" borderId="13" numFmtId="4" xfId="0" applyNumberFormat="1" applyFont="1" applyFill="1" applyBorder="1">
      <alignment horizontal="center" vertical="center" wrapText="1"/>
    </xf>
    <xf fontId="22" fillId="37" borderId="13" numFmtId="188" xfId="0" applyNumberFormat="1" applyFont="1" applyFill="1" applyBorder="1">
      <alignment horizontal="right" vertical="center" wrapText="1"/>
    </xf>
    <xf fontId="22" fillId="40" borderId="12" numFmtId="0" xfId="0" applyFont="1" applyFill="1" applyBorder="1">
      <alignment horizontal="left" indent="1" vertical="center" wrapText="1"/>
    </xf>
    <xf fontId="47" fillId="0" borderId="12" numFmtId="0" xfId="0" applyFont="1" applyBorder="1">
      <alignment horizontal="left" indent="5" vertical="center" wrapText="1"/>
    </xf>
    <xf fontId="72" fillId="0" borderId="24" numFmtId="49" xfId="0" applyNumberFormat="1" applyFont="1" applyBorder="1">
      <alignment vertical="top"/>
    </xf>
    <xf fontId="47" fillId="0" borderId="24" numFmtId="49" xfId="0" applyNumberFormat="1" applyFont="1" applyBorder="1">
      <alignment vertical="top"/>
    </xf>
    <xf fontId="22" fillId="0" borderId="12" numFmtId="0" xfId="0" applyFont="1" applyBorder="1">
      <alignment horizontal="left" indent="1" vertical="center" wrapText="1"/>
    </xf>
    <xf fontId="47" fillId="0" borderId="12" numFmtId="4" xfId="0" applyNumberFormat="1" applyFont="1" applyBorder="1">
      <alignment horizontal="right" vertical="center" wrapText="1"/>
    </xf>
    <xf fontId="47" fillId="0" borderId="12" numFmtId="188" xfId="0" applyNumberFormat="1" applyFont="1" applyBorder="1">
      <alignment horizontal="right" vertical="center" wrapText="1"/>
    </xf>
    <xf fontId="22" fillId="36" borderId="14" numFmtId="188" xfId="0" applyNumberFormat="1" applyFont="1" applyFill="1" applyBorder="1">
      <alignment horizontal="right" vertical="center" wrapText="1"/>
      <protection locked="0"/>
    </xf>
    <xf fontId="47" fillId="0" borderId="14" numFmtId="4" xfId="0" applyNumberFormat="1" applyFont="1" applyBorder="1">
      <alignment horizontal="center" vertical="center" wrapText="1"/>
    </xf>
    <xf fontId="22" fillId="36" borderId="13" numFmtId="4" xfId="0" applyNumberFormat="1" applyFont="1" applyFill="1" applyBorder="1">
      <alignment horizontal="right" vertical="center" wrapText="1"/>
      <protection locked="0"/>
    </xf>
    <xf fontId="22" fillId="37" borderId="27" numFmtId="49" xfId="0" applyNumberFormat="1" applyFont="1" applyFill="1" applyBorder="1">
      <alignment horizontal="center" vertical="center" wrapText="1"/>
    </xf>
    <xf fontId="46" fillId="0" borderId="0" numFmtId="49" xfId="0" applyNumberFormat="1" applyFont="1">
      <alignment vertical="center" wrapText="1"/>
    </xf>
    <xf fontId="46" fillId="0" borderId="0" numFmtId="0" xfId="0" applyFont="1">
      <alignment horizontal="center" vertical="center" wrapText="1"/>
    </xf>
    <xf fontId="56" fillId="35" borderId="0" numFmtId="0" xfId="0" applyFont="1" applyFill="1">
      <alignment horizontal="center" vertical="center" wrapText="1"/>
    </xf>
    <xf fontId="56" fillId="0" borderId="0" numFmtId="0" xfId="0" applyFont="1">
      <alignment vertical="center" wrapText="1"/>
    </xf>
    <xf fontId="47" fillId="0" borderId="0" numFmtId="0" xfId="0" applyFont="1">
      <alignment vertical="center"/>
    </xf>
    <xf fontId="48" fillId="0" borderId="0" numFmtId="0" xfId="0" applyFont="1">
      <alignment vertical="center"/>
    </xf>
    <xf fontId="47" fillId="0" borderId="0" numFmtId="0" xfId="0" applyFont="1">
      <alignment vertical="center"/>
    </xf>
    <xf fontId="47" fillId="0" borderId="0" numFmtId="0" xfId="0" applyFont="1">
      <alignment vertical="center"/>
    </xf>
    <xf fontId="0" fillId="0" borderId="0" numFmtId="0" xfId="0" applyFont="1">
      <alignment vertical="center"/>
    </xf>
    <xf fontId="22" fillId="0" borderId="0" numFmtId="49" xfId="0" applyNumberFormat="1" applyFont="1">
      <alignment horizontal="center" vertical="center" wrapText="1"/>
    </xf>
    <xf fontId="0" fillId="0" borderId="19" numFmtId="49" xfId="0" applyNumberFormat="1" applyFont="1" applyBorder="1">
      <alignment horizontal="left" vertical="center" wrapText="1"/>
    </xf>
    <xf fontId="22" fillId="0" borderId="19" numFmtId="49" xfId="0" applyNumberFormat="1" applyFont="1" applyBorder="1">
      <alignment horizontal="center" vertical="center" wrapText="1"/>
    </xf>
    <xf fontId="46" fillId="0" borderId="0" numFmtId="0" xfId="0" applyFont="1">
      <alignment horizontal="center" vertical="center" wrapText="1"/>
    </xf>
    <xf fontId="47" fillId="0" borderId="0" numFmtId="0" xfId="0" applyFont="1">
      <alignment horizontal="center" vertical="center" wrapText="1"/>
    </xf>
    <xf fontId="22" fillId="0" borderId="0" numFmtId="0" xfId="0" applyFont="1">
      <alignment horizontal="center" vertical="center" wrapText="1"/>
    </xf>
    <xf fontId="22" fillId="0" borderId="12" numFmtId="49" xfId="0" applyNumberFormat="1" applyFont="1" applyBorder="1">
      <alignment horizontal="left" vertical="center" wrapText="1"/>
    </xf>
    <xf fontId="22" fillId="35" borderId="12" numFmtId="0" xfId="0" applyFont="1" applyFill="1" applyBorder="1">
      <alignment horizontal="left" vertical="center" wrapText="1"/>
    </xf>
    <xf fontId="47" fillId="0" borderId="0" numFmtId="0" xfId="0" applyFont="1">
      <alignment horizontal="center" vertical="center"/>
    </xf>
    <xf fontId="22" fillId="0" borderId="0" numFmtId="49" xfId="0" applyNumberFormat="1" applyFont="1">
      <alignment horizontal="center" vertical="top"/>
    </xf>
    <xf fontId="31" fillId="0" borderId="0" numFmtId="49" xfId="0" applyNumberFormat="1" applyFont="1">
      <alignment horizontal="center" vertical="center"/>
    </xf>
    <xf fontId="0" fillId="0" borderId="0" numFmtId="0" xfId="0" applyFont="1">
      <alignment horizontal="left" vertical="center"/>
    </xf>
    <xf fontId="54" fillId="0" borderId="0" numFmtId="0" xfId="0" applyFont="1">
      <alignment horizontal="left" vertical="center"/>
    </xf>
    <xf fontId="0" fillId="0" borderId="0" numFmtId="49" xfId="0" applyNumberFormat="1" applyFont="1">
      <alignment vertical="center"/>
    </xf>
    <xf fontId="0" fillId="0" borderId="0" numFmtId="0" xfId="0" applyFont="1">
      <alignment horizontal="right" vertical="top"/>
    </xf>
    <xf fontId="39" fillId="37" borderId="29" numFmtId="0" xfId="0" applyFont="1" applyFill="1" applyBorder="1">
      <alignment horizontal="left" vertical="center"/>
    </xf>
    <xf fontId="47" fillId="0" borderId="14" numFmtId="49" xfId="0" applyNumberFormat="1" applyFont="1" applyBorder="1">
      <alignment horizontal="left" vertical="center" wrapText="1"/>
    </xf>
    <xf fontId="47" fillId="0" borderId="14" numFmtId="0" xfId="0" applyFont="1" applyBorder="1">
      <alignment horizontal="left" vertical="center"/>
    </xf>
    <xf fontId="47" fillId="0" borderId="15" numFmtId="0" xfId="0" applyFont="1" applyBorder="1">
      <alignment horizontal="left" vertical="center"/>
    </xf>
    <xf fontId="22" fillId="36" borderId="12" numFmtId="49" xfId="0" applyNumberFormat="1" applyFont="1" applyFill="1" applyBorder="1">
      <alignment horizontal="left" indent="6" vertical="center" wrapText="1"/>
      <protection locked="0"/>
    </xf>
    <xf fontId="22" fillId="0" borderId="37" numFmtId="4" xfId="0" applyNumberFormat="1" applyFont="1" applyBorder="1">
      <alignment horizontal="right" vertical="center" wrapText="1"/>
    </xf>
    <xf fontId="22" fillId="0" borderId="30" numFmtId="4" xfId="0" applyNumberFormat="1" applyFont="1" applyBorder="1">
      <alignment horizontal="right" vertical="center" wrapText="1"/>
    </xf>
    <xf fontId="0" fillId="37" borderId="29" numFmtId="49" xfId="0" applyNumberFormat="1" applyFont="1" applyFill="1" applyBorder="1">
      <alignment horizontal="center" vertical="center" wrapText="1"/>
    </xf>
    <xf fontId="0" fillId="0" borderId="0" numFmtId="0" xfId="0" applyFont="1">
      <alignment vertical="center"/>
    </xf>
    <xf fontId="110" fillId="0" borderId="0" numFmtId="0" xfId="0" applyFont="1">
      <alignment vertical="center" wrapText="1"/>
    </xf>
    <xf fontId="22" fillId="0" borderId="19" numFmtId="49" xfId="0" applyNumberFormat="1" applyFont="1" applyBorder="1">
      <alignment horizontal="center" vertical="center" wrapText="1"/>
    </xf>
    <xf fontId="22" fillId="0" borderId="0" numFmtId="49" xfId="0" applyNumberFormat="1" applyFont="1">
      <alignment horizontal="center" vertical="center" wrapText="1"/>
    </xf>
    <xf fontId="0" fillId="0" borderId="19" numFmtId="49" xfId="0" applyNumberFormat="1" applyFont="1" applyBorder="1">
      <alignment horizontal="left" vertical="center" wrapText="1"/>
    </xf>
    <xf fontId="22" fillId="0" borderId="0" numFmtId="49" xfId="0" applyNumberFormat="1" applyFont="1">
      <alignment vertical="center" wrapText="1"/>
    </xf>
    <xf fontId="46" fillId="0" borderId="0" numFmtId="0" xfId="0" applyFont="1">
      <alignment horizontal="center" vertical="center" wrapText="1"/>
    </xf>
    <xf fontId="22" fillId="35" borderId="12" numFmtId="0" xfId="0" applyFont="1" applyFill="1" applyBorder="1">
      <alignment horizontal="center" vertical="center" wrapText="1"/>
    </xf>
    <xf fontId="22" fillId="0" borderId="0" numFmtId="0" xfId="0" applyFont="1">
      <alignment horizontal="left" vertical="top" wrapText="1"/>
    </xf>
    <xf fontId="47" fillId="0" borderId="0" numFmtId="0" xfId="0" applyFont="1">
      <alignment horizontal="center" vertical="center" wrapText="1"/>
    </xf>
    <xf fontId="80" fillId="35" borderId="19" numFmtId="0" xfId="0" applyFont="1" applyFill="1" applyBorder="1">
      <alignment horizontal="center" vertical="center" wrapText="1"/>
    </xf>
    <xf fontId="22" fillId="0" borderId="17" numFmtId="0" xfId="0" applyFont="1" applyBorder="1">
      <alignment horizontal="center" vertical="center" wrapText="1"/>
    </xf>
    <xf fontId="22" fillId="0" borderId="0" numFmtId="0" xfId="0" applyFont="1">
      <alignment horizontal="center" vertical="center" wrapText="1"/>
    </xf>
    <xf fontId="22" fillId="0" borderId="0" numFmtId="0" xfId="0" applyFont="1">
      <alignment horizontal="right" vertical="center" wrapText="1"/>
    </xf>
    <xf fontId="0" fillId="0" borderId="12" numFmtId="0" xfId="0" applyFont="1" applyBorder="1">
      <alignment horizontal="center" vertical="center" wrapText="1"/>
    </xf>
    <xf fontId="22" fillId="0" borderId="12" numFmtId="49" xfId="0" applyNumberFormat="1" applyFont="1" applyBorder="1">
      <alignment horizontal="left" vertical="center" wrapText="1"/>
    </xf>
    <xf fontId="22" fillId="35" borderId="12" numFmtId="0" xfId="0" applyFont="1" applyFill="1" applyBorder="1">
      <alignment horizontal="left" vertical="center" wrapText="1"/>
    </xf>
    <xf fontId="47" fillId="0" borderId="0" numFmtId="0" xfId="0" applyFont="1">
      <alignment horizontal="center" vertical="center"/>
    </xf>
    <xf fontId="22" fillId="40" borderId="12" numFmtId="49" xfId="0" applyNumberFormat="1" applyFont="1" applyFill="1" applyBorder="1">
      <alignment horizontal="center" vertical="center" wrapText="1"/>
    </xf>
    <xf fontId="47" fillId="0" borderId="12" numFmtId="49" xfId="0" applyNumberFormat="1" applyFont="1" applyBorder="1">
      <alignment horizontal="center" vertical="center" wrapText="1"/>
    </xf>
    <xf fontId="46" fillId="0" borderId="0" numFmtId="0" xfId="0" applyFont="1">
      <alignment horizontal="center" vertical="center" wrapText="1"/>
    </xf>
    <xf fontId="47" fillId="0" borderId="0" numFmtId="0" xfId="0" applyFont="1">
      <alignment horizontal="center" vertical="center" wrapText="1"/>
    </xf>
    <xf fontId="22" fillId="35" borderId="12" numFmtId="49" xfId="0" applyNumberFormat="1" applyFont="1" applyFill="1" applyBorder="1">
      <alignment horizontal="center" vertical="center" wrapText="1"/>
    </xf>
    <xf fontId="47" fillId="0" borderId="0" numFmtId="0" xfId="0" applyFont="1">
      <alignment horizontal="center" vertical="center"/>
    </xf>
    <xf fontId="22" fillId="35" borderId="12" numFmtId="0" xfId="0" applyFont="1" applyFill="1" applyBorder="1">
      <alignment horizontal="left" vertical="center" wrapText="1"/>
    </xf>
    <xf fontId="22" fillId="39" borderId="12" numFmtId="49" xfId="0" applyNumberFormat="1" applyFont="1" applyFill="1" applyBorder="1">
      <alignment horizontal="left" indent="1" vertical="center" wrapText="1"/>
      <protection locked="0"/>
    </xf>
    <xf fontId="0" fillId="0" borderId="0" numFmtId="0" xfId="0" applyFont="1">
      <alignment vertical="center"/>
    </xf>
    <xf fontId="22" fillId="0" borderId="0" numFmtId="0" xfId="0" applyFont="1">
      <alignment horizontal="center" vertical="center" wrapText="1"/>
    </xf>
    <xf fontId="22" fillId="40" borderId="12" numFmtId="49" xfId="0" applyNumberFormat="1" applyFont="1" applyFill="1" applyBorder="1">
      <alignment horizontal="center" vertical="center" wrapText="1"/>
    </xf>
    <xf fontId="22" fillId="0" borderId="19" numFmtId="49" xfId="0" applyNumberFormat="1" applyFont="1" applyBorder="1">
      <alignment horizontal="center" vertical="center" wrapText="1"/>
    </xf>
    <xf fontId="22" fillId="0" borderId="0" numFmtId="49" xfId="0" applyNumberFormat="1" applyFont="1">
      <alignment horizontal="center" vertical="center" wrapText="1"/>
    </xf>
    <xf fontId="0" fillId="0" borderId="19" numFmtId="49" xfId="0" applyNumberFormat="1" applyFont="1" applyBorder="1">
      <alignment horizontal="left" vertical="center" wrapText="1"/>
    </xf>
    <xf fontId="22" fillId="0" borderId="0" numFmtId="49" xfId="0" applyNumberFormat="1" applyFont="1">
      <alignment vertical="center" wrapText="1"/>
    </xf>
    <xf fontId="22" fillId="35" borderId="12" numFmtId="49" xfId="0" applyNumberFormat="1" applyFont="1" applyFill="1" applyBorder="1">
      <alignment horizontal="center" vertical="center" wrapText="1"/>
    </xf>
    <xf fontId="47" fillId="35" borderId="0" numFmtId="0" xfId="0" applyFont="1" applyFill="1">
      <alignment horizontal="center" vertical="center" wrapText="1"/>
    </xf>
    <xf fontId="0" fillId="35" borderId="12" numFmtId="0" xfId="0" applyFont="1" applyFill="1" applyBorder="1">
      <alignment horizontal="center" vertical="center" wrapText="1"/>
    </xf>
    <xf fontId="22" fillId="35" borderId="24" numFmtId="0" xfId="0" applyFont="1" applyFill="1" applyBorder="1">
      <alignment horizontal="center" vertical="center" wrapText="1"/>
    </xf>
    <xf fontId="46" fillId="0" borderId="0" numFmtId="0" xfId="0" applyFont="1">
      <alignment horizontal="center" vertical="center" wrapText="1"/>
    </xf>
    <xf fontId="22" fillId="35" borderId="12" numFmtId="0" xfId="0" applyFont="1" applyFill="1" applyBorder="1">
      <alignment horizontal="center" vertical="center" wrapText="1"/>
    </xf>
    <xf fontId="22" fillId="0" borderId="0" numFmtId="0" xfId="0" applyFont="1">
      <alignment horizontal="left" vertical="top" wrapText="1"/>
    </xf>
    <xf fontId="47" fillId="0" borderId="0" numFmtId="0" xfId="0" applyFont="1">
      <alignment horizontal="center" vertical="center" wrapText="1"/>
    </xf>
    <xf fontId="80" fillId="35" borderId="19" numFmtId="0" xfId="0" applyFont="1" applyFill="1" applyBorder="1">
      <alignment horizontal="center" vertical="center" wrapText="1"/>
    </xf>
    <xf fontId="22" fillId="0" borderId="17" numFmtId="0" xfId="0" applyFont="1" applyBorder="1">
      <alignment horizontal="center" vertical="center" wrapText="1"/>
    </xf>
    <xf fontId="22" fillId="0" borderId="12" numFmtId="0" xfId="0" applyFont="1" applyBorder="1">
      <alignment horizontal="center" vertical="center" wrapText="1"/>
    </xf>
    <xf fontId="47" fillId="0" borderId="12" numFmtId="49" xfId="0" applyNumberFormat="1" applyFont="1" applyBorder="1">
      <alignment horizontal="center" vertical="center" wrapText="1"/>
    </xf>
    <xf fontId="22" fillId="35" borderId="12" numFmtId="49" xfId="0" applyNumberFormat="1" applyFont="1" applyFill="1" applyBorder="1">
      <alignment horizontal="center" vertical="center" wrapText="1"/>
    </xf>
    <xf fontId="22" fillId="0" borderId="0" numFmtId="0" xfId="0" applyFont="1">
      <alignment horizontal="center" vertical="center" wrapText="1"/>
    </xf>
    <xf fontId="22" fillId="0" borderId="0" numFmtId="0" xfId="0" applyFont="1">
      <alignment horizontal="right" vertical="center" wrapText="1"/>
    </xf>
    <xf fontId="0" fillId="0" borderId="12" numFmtId="0" xfId="0" applyFont="1" applyBorder="1">
      <alignment horizontal="center" vertical="center" wrapText="1"/>
    </xf>
    <xf fontId="22" fillId="0" borderId="12" numFmtId="49" xfId="0" applyNumberFormat="1" applyFont="1" applyBorder="1">
      <alignment horizontal="left" vertical="center" wrapText="1"/>
    </xf>
    <xf fontId="22" fillId="40" borderId="12" numFmtId="49" xfId="0" applyNumberFormat="1" applyFont="1" applyFill="1" applyBorder="1">
      <alignment horizontal="left" vertical="center" wrapText="1"/>
    </xf>
    <xf fontId="22" fillId="39" borderId="12" numFmtId="49" xfId="0" applyNumberFormat="1" applyFont="1" applyFill="1" applyBorder="1">
      <alignment horizontal="left" indent="1" vertical="center" wrapText="1"/>
      <protection locked="0"/>
    </xf>
    <xf fontId="22" fillId="35" borderId="12" numFmtId="0" xfId="0" applyFont="1" applyFill="1" applyBorder="1">
      <alignment horizontal="left" vertical="center" wrapText="1"/>
    </xf>
    <xf fontId="47" fillId="0" borderId="0" numFmtId="0" xfId="0" applyFont="1">
      <alignment horizontal="center" vertical="center"/>
    </xf>
    <xf fontId="36" fillId="0" borderId="0" numFmtId="0" xfId="0" applyFont="1">
      <alignment horizontal="center" vertical="center" wrapText="1"/>
    </xf>
    <xf fontId="22" fillId="37" borderId="15" numFmtId="188" xfId="0" applyNumberFormat="1" applyFont="1" applyFill="1" applyBorder="1">
      <alignment horizontal="right" vertical="center" wrapText="1"/>
    </xf>
    <xf fontId="111" fillId="0" borderId="0" numFmtId="0" xfId="0" applyFont="1">
      <alignment vertical="center" wrapText="1"/>
    </xf>
    <xf fontId="111" fillId="35" borderId="0" numFmtId="0" xfId="0" applyFont="1" applyFill="1">
      <alignment horizontal="center" vertical="center" wrapText="1"/>
    </xf>
    <xf fontId="47" fillId="35" borderId="12" numFmtId="0" xfId="0" applyFont="1" applyFill="1" applyBorder="1">
      <alignment horizontal="left" indent="3" vertical="center" wrapText="1"/>
    </xf>
    <xf fontId="39" fillId="37" borderId="27" numFmtId="49" xfId="0" applyNumberFormat="1" applyFont="1" applyFill="1" applyBorder="1">
      <alignment horizontal="left" vertical="center"/>
    </xf>
    <xf fontId="111" fillId="0" borderId="0" numFmtId="0" xfId="0" applyFont="1">
      <alignment horizontal="center" vertical="center" wrapText="1"/>
    </xf>
    <xf fontId="47" fillId="0" borderId="0" numFmtId="49" xfId="0" applyNumberFormat="1" applyFont="1">
      <alignment horizontal="left" indent="1" vertical="center" wrapText="1"/>
    </xf>
    <xf fontId="47" fillId="0" borderId="0" numFmtId="0" xfId="0" applyFont="1">
      <alignment horizontal="left" indent="4" vertical="center" wrapText="1"/>
    </xf>
    <xf fontId="47" fillId="0" borderId="0" numFmtId="0" xfId="0" applyFont="1">
      <alignment horizontal="left" indent="1" vertical="center" wrapText="1"/>
    </xf>
    <xf fontId="22" fillId="37" borderId="14" numFmtId="49" xfId="0" applyNumberFormat="1" applyFont="1" applyFill="1" applyBorder="1">
      <alignment horizontal="center" vertical="center" wrapText="1"/>
    </xf>
    <xf fontId="47" fillId="0" borderId="24" numFmtId="0" xfId="0" applyFont="1" applyBorder="1">
      <alignment horizontal="left" indent="1" vertical="center" wrapText="1"/>
    </xf>
    <xf fontId="46" fillId="0" borderId="0" numFmtId="0" xfId="0" applyFont="1">
      <alignment horizontal="left" vertical="center"/>
    </xf>
    <xf fontId="46" fillId="0" borderId="0" numFmtId="49" xfId="0" applyNumberFormat="1" applyFont="1">
      <alignment horizontal="left" vertical="center"/>
    </xf>
    <xf fontId="46" fillId="0" borderId="0" numFmtId="0" xfId="0" applyFont="1">
      <alignment horizontal="left" vertical="center"/>
    </xf>
    <xf fontId="69" fillId="0" borderId="0" numFmtId="0" xfId="0" applyFont="1">
      <alignment horizontal="left" vertical="center"/>
    </xf>
    <xf fontId="47" fillId="0" borderId="0" numFmtId="0" xfId="0" applyFont="1">
      <alignment horizontal="left" vertical="center"/>
    </xf>
    <xf fontId="22" fillId="0" borderId="0" numFmtId="49" xfId="0" applyNumberFormat="1" applyFont="1">
      <alignment horizontal="center" vertical="center" wrapText="1"/>
    </xf>
    <xf fontId="22" fillId="0" borderId="19" numFmtId="49" xfId="0" applyNumberFormat="1" applyFont="1" applyBorder="1">
      <alignment horizontal="center" vertical="center" wrapText="1"/>
    </xf>
    <xf fontId="22" fillId="0" borderId="19" numFmtId="49" xfId="0" applyNumberFormat="1" applyFont="1" applyBorder="1">
      <alignment horizontal="left" vertical="center" wrapText="1"/>
    </xf>
    <xf fontId="36" fillId="0" borderId="0" numFmtId="0" xfId="0" applyFont="1">
      <alignment horizontal="center" vertical="center" wrapText="1"/>
    </xf>
    <xf fontId="36" fillId="35" borderId="0" numFmtId="0" xfId="0" applyFont="1" applyFill="1">
      <alignment horizontal="center" vertical="center" wrapText="1"/>
    </xf>
    <xf fontId="46" fillId="0" borderId="0" numFmtId="49" xfId="0" applyNumberFormat="1" applyFont="1">
      <alignment horizontal="left" vertical="center"/>
    </xf>
    <xf fontId="46" fillId="0" borderId="0" numFmtId="49" xfId="0" applyNumberFormat="1" applyFont="1">
      <alignment horizontal="left" vertical="center"/>
    </xf>
    <xf fontId="46" fillId="0" borderId="0" numFmtId="49" xfId="0" applyNumberFormat="1" applyFont="1">
      <alignment horizontal="left" vertical="top"/>
    </xf>
    <xf fontId="22" fillId="35" borderId="12" numFmtId="49" xfId="0" applyNumberFormat="1" applyFont="1" applyFill="1" applyBorder="1">
      <alignment horizontal="center" vertical="center"/>
    </xf>
    <xf fontId="22" fillId="0" borderId="12" numFmtId="0" xfId="0" applyFont="1" applyBorder="1">
      <alignment horizontal="center" vertical="center" wrapText="1"/>
    </xf>
    <xf fontId="22" fillId="35" borderId="12" numFmtId="0" xfId="0" applyFont="1" applyFill="1" applyBorder="1">
      <alignment horizontal="left" indent="1" vertical="center" wrapText="1"/>
    </xf>
    <xf fontId="22" fillId="0" borderId="12" numFmtId="49" xfId="0" applyNumberFormat="1" applyFont="1" applyBorder="1">
      <alignment horizontal="center" vertical="center"/>
    </xf>
    <xf fontId="22" fillId="0" borderId="12" numFmtId="0" xfId="0" applyFont="1" applyBorder="1">
      <alignment horizontal="left" indent="1" vertical="center" wrapText="1"/>
    </xf>
    <xf fontId="22" fillId="0" borderId="12" numFmtId="0" xfId="0" applyFont="1" applyBorder="1">
      <alignment vertical="center" wrapText="1"/>
    </xf>
    <xf fontId="22" fillId="39" borderId="12" numFmtId="49" xfId="0" applyNumberFormat="1" applyFont="1" applyFill="1" applyBorder="1">
      <alignment horizontal="left" vertical="center" wrapText="1"/>
      <protection locked="0"/>
    </xf>
    <xf fontId="22" fillId="35" borderId="12" numFmtId="0" xfId="0" applyFont="1" applyFill="1" applyBorder="1">
      <alignment horizontal="left" vertical="center" wrapText="1"/>
    </xf>
    <xf fontId="47" fillId="35" borderId="12" numFmtId="0" xfId="0" applyFont="1" applyFill="1" applyBorder="1">
      <alignment horizontal="center" vertical="center"/>
    </xf>
    <xf fontId="72" fillId="35" borderId="0" numFmtId="0" xfId="0" applyFont="1" applyFill="1">
      <alignment vertical="center" wrapText="1"/>
    </xf>
    <xf fontId="67" fillId="35" borderId="0" numFmtId="0" xfId="0" applyFont="1" applyFill="1"/>
    <xf fontId="22" fillId="36" borderId="12" numFmtId="49" xfId="0" applyNumberFormat="1" applyFont="1" applyFill="1" applyBorder="1">
      <alignment horizontal="left" vertical="center" wrapText="1"/>
      <protection locked="0"/>
    </xf>
    <xf fontId="84" fillId="35" borderId="0" numFmtId="0" xfId="0" applyFont="1" applyFill="1"/>
    <xf fontId="68" fillId="35" borderId="0" numFmtId="0" xfId="0" applyFont="1" applyFill="1"/>
    <xf fontId="22" fillId="39" borderId="23" numFmtId="14" xfId="0" applyNumberFormat="1" applyFont="1" applyFill="1" applyBorder="1">
      <alignment horizontal="left" indent="1" vertical="center" wrapText="1"/>
      <protection locked="0"/>
    </xf>
    <xf fontId="112" fillId="0" borderId="0" numFmtId="0" xfId="0" applyFont="1">
      <alignment vertical="center"/>
    </xf>
    <xf fontId="112" fillId="0" borderId="0" numFmtId="0" xfId="0" applyFont="1">
      <alignment vertical="center" wrapText="1"/>
    </xf>
    <xf fontId="22" fillId="0" borderId="23" numFmtId="191" xfId="0" applyNumberFormat="1" applyFont="1" applyBorder="1">
      <alignment horizontal="center" vertical="center" wrapText="1"/>
    </xf>
    <xf fontId="22" fillId="39" borderId="12" numFmtId="14" xfId="0" applyNumberFormat="1" applyFont="1" applyFill="1" applyBorder="1">
      <alignment horizontal="left" indent="1" vertical="center" wrapText="1"/>
      <protection locked="0"/>
    </xf>
    <xf fontId="22" fillId="34" borderId="23" numFmtId="0" xfId="0" applyFont="1" applyFill="1" applyBorder="1">
      <alignment horizontal="left" indent="1" vertical="center" wrapText="1"/>
    </xf>
    <xf fontId="22" fillId="0" borderId="17" numFmtId="191" xfId="0" applyNumberFormat="1" applyFont="1" applyBorder="1">
      <alignment horizontal="center" vertical="center" wrapText="1"/>
    </xf>
    <xf fontId="49" fillId="37" borderId="30" numFmtId="49" xfId="0" applyNumberFormat="1" applyFont="1" applyFill="1" applyBorder="1">
      <alignment horizontal="right" vertical="center" wrapText="1"/>
    </xf>
    <xf fontId="0" fillId="37" borderId="27" numFmtId="49" xfId="0" applyNumberFormat="1" applyFont="1" applyFill="1" applyBorder="1">
      <alignment horizontal="right" vertical="center" wrapText="1"/>
    </xf>
    <xf fontId="53" fillId="37" borderId="27" numFmtId="49" xfId="0" applyNumberFormat="1" applyFont="1" applyFill="1" applyBorder="1">
      <alignment horizontal="left" vertical="center" wrapText="1"/>
    </xf>
    <xf fontId="47" fillId="0" borderId="27" numFmtId="0" xfId="0" applyFont="1" applyBorder="1">
      <alignment horizontal="center" vertical="center" wrapText="1"/>
    </xf>
    <xf fontId="47" fillId="0" borderId="0" numFmtId="0" xfId="0" applyFont="1">
      <alignment horizontal="center" vertical="center"/>
    </xf>
    <xf fontId="41" fillId="0" borderId="0" numFmtId="0" xfId="0" applyFont="1">
      <alignment horizontal="center" vertical="center" wrapText="1"/>
    </xf>
    <xf fontId="22" fillId="40" borderId="12" numFmtId="14" xfId="0" applyNumberFormat="1" applyFont="1" applyFill="1" applyBorder="1">
      <alignment horizontal="left" vertical="center" wrapText="1"/>
    </xf>
    <xf fontId="22" fillId="0" borderId="37" numFmtId="191" xfId="0" applyNumberFormat="1" applyFont="1" applyBorder="1">
      <alignment horizontal="center" vertical="center" wrapText="1"/>
    </xf>
    <xf fontId="22" fillId="39" borderId="12" numFmtId="0" xfId="0" applyFont="1" applyFill="1" applyBorder="1">
      <alignment horizontal="center" vertical="center" wrapText="1"/>
      <protection locked="0"/>
    </xf>
    <xf fontId="46" fillId="35" borderId="0" numFmtId="0" xfId="0" applyFont="1" applyFill="1"/>
    <xf fontId="22" fillId="0" borderId="15" numFmtId="0" xfId="0" applyFont="1" applyBorder="1">
      <alignment horizontal="right" indent="1" vertical="center" wrapText="1"/>
    </xf>
    <xf fontId="22" fillId="34" borderId="14" numFmtId="0" xfId="0" applyFont="1" applyFill="1" applyBorder="1">
      <alignment horizontal="left" vertical="top" wrapText="1"/>
    </xf>
    <xf fontId="47" fillId="0" borderId="0" numFmtId="49" xfId="0" applyNumberFormat="1" applyFont="1">
      <alignment horizontal="center" vertical="center"/>
    </xf>
    <xf fontId="67" fillId="0" borderId="0" numFmtId="49" xfId="0" applyNumberFormat="1" applyFont="1">
      <alignment vertical="top"/>
    </xf>
    <xf fontId="41" fillId="0" borderId="0" numFmtId="0" xfId="0" applyFont="1">
      <alignment vertical="center"/>
    </xf>
    <xf fontId="22" fillId="0" borderId="36" numFmtId="0" xfId="0" applyFont="1" applyBorder="1">
      <alignment horizontal="center" vertical="center" wrapText="1"/>
    </xf>
    <xf fontId="22" fillId="0" borderId="37" numFmtId="0" xfId="0" applyFont="1" applyBorder="1">
      <alignment horizontal="center" vertical="center" wrapText="1"/>
    </xf>
    <xf fontId="22" fillId="0" borderId="17" numFmtId="0" xfId="0" applyFont="1" applyBorder="1">
      <alignment horizontal="center" vertical="center" wrapText="1"/>
    </xf>
    <xf fontId="22" fillId="0" borderId="22" numFmtId="0" xfId="0" applyFont="1" applyBorder="1">
      <alignment horizontal="center" vertical="center" wrapText="1"/>
    </xf>
    <xf fontId="22" fillId="0" borderId="36" numFmtId="49" xfId="0" applyNumberFormat="1" applyFont="1" applyBorder="1">
      <alignment horizontal="left" vertical="center" wrapText="1"/>
    </xf>
    <xf fontId="22" fillId="0" borderId="36" numFmtId="49" xfId="0" applyNumberFormat="1" applyFont="1" applyBorder="1">
      <alignment horizontal="center" vertical="center" wrapText="1"/>
    </xf>
    <xf fontId="22" fillId="0" borderId="17" numFmtId="49" xfId="0" applyNumberFormat="1" applyFont="1" applyBorder="1">
      <alignment horizontal="center" vertical="center" wrapText="1"/>
    </xf>
    <xf fontId="22" fillId="0" borderId="36" numFmtId="0" xfId="0" applyFont="1" applyBorder="1">
      <alignment horizontal="left" vertical="center" wrapText="1"/>
    </xf>
    <xf fontId="22" fillId="0" borderId="36" numFmtId="49" xfId="0" applyNumberFormat="1" applyFont="1" applyBorder="1">
      <alignment vertical="center" wrapText="1"/>
    </xf>
    <xf fontId="22" fillId="0" borderId="23" numFmtId="0" xfId="0" applyFont="1" applyBorder="1">
      <alignment horizontal="left" vertical="center" wrapText="1"/>
    </xf>
    <xf fontId="39" fillId="0" borderId="23" numFmtId="0" xfId="0" applyFont="1" applyBorder="1">
      <alignment horizontal="left" vertical="center"/>
    </xf>
    <xf fontId="39" fillId="37" borderId="14" numFmtId="0" xfId="0" applyFont="1" applyFill="1" applyBorder="1">
      <alignment horizontal="left" vertical="center"/>
    </xf>
    <xf fontId="39" fillId="0" borderId="36" numFmtId="0" xfId="0" applyFont="1" applyBorder="1">
      <alignment horizontal="left" vertical="center"/>
    </xf>
    <xf fontId="39" fillId="37" borderId="37" numFmtId="0" xfId="0" applyFont="1" applyFill="1" applyBorder="1">
      <alignment horizontal="left" vertical="center"/>
    </xf>
    <xf fontId="67" fillId="37" borderId="14" numFmtId="49" xfId="0" applyNumberFormat="1" applyFont="1" applyFill="1" applyBorder="1">
      <alignment vertical="top"/>
    </xf>
    <xf fontId="67" fillId="37" borderId="15" numFmtId="49" xfId="0" applyNumberFormat="1" applyFont="1" applyFill="1" applyBorder="1">
      <alignment vertical="top"/>
    </xf>
    <xf fontId="22" fillId="40" borderId="17" numFmtId="49" xfId="0" applyNumberFormat="1" applyFont="1" applyFill="1" applyBorder="1">
      <alignment vertical="center" wrapText="1"/>
    </xf>
    <xf fontId="22" fillId="0" borderId="37" numFmtId="0" xfId="0" applyFont="1" applyBorder="1">
      <alignment horizontal="center" vertical="center" wrapText="1"/>
    </xf>
    <xf fontId="0" fillId="0" borderId="0" numFmtId="49" xfId="0" applyNumberFormat="1" applyFont="1">
      <alignment vertical="top"/>
    </xf>
    <xf fontId="46" fillId="0" borderId="0" numFmtId="49" xfId="0" applyNumberFormat="1" applyFont="1">
      <alignment horizontal="center" vertical="center"/>
    </xf>
    <xf fontId="113" fillId="0" borderId="0" numFmtId="0" xfId="0" applyFont="1">
      <alignment vertical="center" wrapText="1"/>
    </xf>
    <xf fontId="114" fillId="0" borderId="0" numFmtId="0" xfId="0" applyFont="1">
      <alignment vertical="center" wrapText="1"/>
    </xf>
    <xf fontId="22" fillId="0" borderId="17" numFmtId="0" xfId="0" applyFont="1" applyBorder="1">
      <alignment horizontal="center" vertical="center" wrapText="1"/>
    </xf>
    <xf fontId="22" fillId="0" borderId="17" numFmtId="49" xfId="0" applyNumberFormat="1" applyFont="1" applyBorder="1">
      <alignment horizontal="left" vertical="center" wrapText="1"/>
    </xf>
    <xf fontId="22" fillId="0" borderId="17" numFmtId="49" xfId="0" applyNumberFormat="1" applyFont="1" applyBorder="1">
      <alignment horizontal="left" vertical="center" wrapText="1"/>
    </xf>
    <xf fontId="22" fillId="0" borderId="17" numFmtId="49" xfId="0" applyNumberFormat="1" applyFont="1" applyBorder="1">
      <alignment horizontal="center" vertical="center" wrapText="1"/>
    </xf>
    <xf fontId="22" fillId="0" borderId="17" numFmtId="0" xfId="0" applyFont="1" applyBorder="1">
      <alignment horizontal="left" vertical="center" wrapText="1"/>
    </xf>
    <xf fontId="22" fillId="0" borderId="0" numFmtId="0" xfId="0" applyFont="1">
      <alignment horizontal="left" vertical="center" wrapText="1"/>
    </xf>
    <xf fontId="22" fillId="0" borderId="19" numFmtId="49" xfId="0" applyNumberFormat="1" applyFont="1" applyBorder="1">
      <alignment vertical="center" wrapText="1"/>
    </xf>
    <xf fontId="22" fillId="0" borderId="19" numFmtId="49" xfId="0" applyNumberFormat="1" applyFont="1" applyBorder="1">
      <alignment horizontal="left" vertical="center" wrapText="1"/>
    </xf>
    <xf fontId="36" fillId="0" borderId="19" numFmtId="49" xfId="0" applyNumberFormat="1" applyFont="1" applyBorder="1">
      <alignment vertical="center" wrapText="1"/>
    </xf>
    <xf fontId="22" fillId="0" borderId="19" numFmtId="49" xfId="0" applyNumberFormat="1" applyFont="1" applyBorder="1">
      <alignment horizontal="center" vertical="center" wrapText="1"/>
    </xf>
    <xf fontId="22" fillId="0" borderId="19" numFmtId="0" xfId="0" applyFont="1" applyBorder="1">
      <alignment horizontal="left" vertical="center" wrapText="1"/>
    </xf>
    <xf fontId="22" fillId="0" borderId="19" numFmtId="49" xfId="0" applyNumberFormat="1" applyFont="1" applyBorder="1">
      <alignment vertical="center" wrapText="1"/>
    </xf>
    <xf fontId="22" fillId="0" borderId="0" numFmtId="49" xfId="0" applyNumberFormat="1" applyFont="1">
      <alignment vertical="center" wrapText="1"/>
    </xf>
    <xf fontId="22" fillId="0" borderId="0" numFmtId="49" xfId="0" applyNumberFormat="1" applyFont="1">
      <alignment horizontal="left" vertical="center" wrapText="1"/>
    </xf>
    <xf fontId="36" fillId="0" borderId="0" numFmtId="49" xfId="0" applyNumberFormat="1" applyFont="1">
      <alignment vertical="center" wrapText="1"/>
    </xf>
    <xf fontId="22" fillId="0" borderId="0" numFmtId="49" xfId="0" applyNumberFormat="1" applyFont="1">
      <alignment horizontal="center" vertical="center" wrapText="1"/>
    </xf>
    <xf fontId="22" fillId="0" borderId="0" numFmtId="0" xfId="0" applyFont="1">
      <alignment horizontal="left" vertical="center" wrapText="1"/>
    </xf>
    <xf fontId="39" fillId="0" borderId="0" numFmtId="0" xfId="0" applyFont="1">
      <alignment horizontal="left" vertical="center"/>
    </xf>
    <xf fontId="36" fillId="0" borderId="0" numFmtId="49" xfId="0" applyNumberFormat="1" applyFont="1">
      <alignment horizontal="center" vertical="center" wrapText="1"/>
    </xf>
    <xf fontId="39" fillId="0" borderId="0" numFmtId="0" xfId="0" applyFont="1">
      <alignment vertical="center"/>
    </xf>
    <xf fontId="67" fillId="0" borderId="30" numFmtId="49" xfId="0" applyNumberFormat="1" applyFont="1" applyBorder="1">
      <alignment vertical="top"/>
    </xf>
    <xf fontId="22" fillId="0" borderId="37" numFmtId="49" xfId="0" applyNumberFormat="1" applyFont="1" applyBorder="1">
      <alignment vertical="center" wrapText="1"/>
    </xf>
    <xf fontId="22" fillId="0" borderId="22" numFmtId="49" xfId="0" applyNumberFormat="1" applyFont="1" applyBorder="1">
      <alignment vertical="center" wrapText="1"/>
    </xf>
    <xf fontId="39" fillId="0" borderId="22" numFmtId="0" xfId="0" applyFont="1" applyBorder="1">
      <alignment horizontal="left" vertical="center"/>
    </xf>
    <xf fontId="67" fillId="0" borderId="27" numFmtId="49" xfId="0" applyNumberFormat="1" applyFont="1" applyBorder="1">
      <alignment vertical="top"/>
    </xf>
    <xf fontId="22" fillId="0" borderId="36" numFmtId="49" xfId="0" applyNumberFormat="1" applyFont="1" applyBorder="1">
      <alignment horizontal="center" vertical="center" wrapText="1"/>
    </xf>
    <xf fontId="39" fillId="37" borderId="37" numFmtId="0" xfId="0" applyFont="1" applyFill="1" applyBorder="1">
      <alignment vertical="center"/>
    </xf>
    <xf fontId="0" fillId="0" borderId="12" numFmtId="49" xfId="0" applyNumberFormat="1" applyFont="1" applyBorder="1">
      <alignment horizontal="left" indent="1" vertical="center" wrapText="1"/>
    </xf>
    <xf fontId="0" fillId="0" borderId="0" numFmtId="49" xfId="0" applyNumberFormat="1" applyFont="1">
      <alignment vertical="top"/>
    </xf>
    <xf fontId="22" fillId="0" borderId="0" numFmtId="0" xfId="0" applyFont="1">
      <alignment vertical="center" wrapText="1"/>
    </xf>
    <xf fontId="31" fillId="0" borderId="0" numFmtId="0" xfId="0" applyFont="1">
      <alignment vertical="center" wrapText="1"/>
    </xf>
    <xf fontId="41" fillId="0" borderId="0" numFmtId="0" xfId="0" applyFont="1">
      <alignment vertical="center" wrapText="1"/>
    </xf>
    <xf fontId="22" fillId="0" borderId="0" numFmtId="0" xfId="0" applyFont="1">
      <alignment horizontal="left" vertical="center" wrapText="1"/>
    </xf>
    <xf fontId="58" fillId="0" borderId="0" numFmtId="0" xfId="0" applyFont="1">
      <alignment vertical="center" wrapText="1"/>
    </xf>
    <xf fontId="60" fillId="0" borderId="0" numFmtId="0" xfId="0" applyFont="1">
      <alignment vertical="center" wrapText="1"/>
    </xf>
    <xf fontId="88" fillId="0" borderId="0" numFmtId="0" xfId="0" applyFont="1">
      <alignment vertical="center" wrapText="1"/>
    </xf>
    <xf fontId="47" fillId="0" borderId="0" numFmtId="0" xfId="0" applyFont="1">
      <alignment vertical="center" wrapText="1"/>
    </xf>
    <xf fontId="64" fillId="0" borderId="0" numFmtId="0" xfId="0" applyFont="1">
      <alignment vertical="center" wrapText="1"/>
    </xf>
    <xf fontId="22" fillId="0" borderId="12" numFmtId="49" xfId="0" applyNumberFormat="1" applyFont="1" applyBorder="1">
      <alignment horizontal="center" vertical="center" wrapText="1"/>
    </xf>
    <xf fontId="36" fillId="35" borderId="12" numFmtId="0" xfId="0" applyFont="1" applyFill="1" applyBorder="1">
      <alignment horizontal="center" vertical="center" wrapText="1"/>
    </xf>
    <xf fontId="22" fillId="0" borderId="0" numFmtId="0" xfId="0" applyFont="1">
      <alignment vertical="center" wrapText="1"/>
    </xf>
    <xf fontId="36" fillId="35" borderId="0" numFmtId="0" xfId="0" applyFont="1" applyFill="1">
      <alignment horizontal="center" vertical="center" wrapText="1"/>
    </xf>
    <xf fontId="22" fillId="0" borderId="12" numFmtId="49" xfId="0" applyNumberFormat="1" applyFont="1" applyBorder="1">
      <alignment horizontal="center" vertical="center" wrapText="1"/>
    </xf>
    <xf fontId="22" fillId="39" borderId="12" numFmtId="3" xfId="0" applyNumberFormat="1" applyFont="1" applyFill="1" applyBorder="1">
      <alignment horizontal="right" vertical="center" wrapText="1"/>
      <protection locked="0"/>
    </xf>
    <xf fontId="47" fillId="0" borderId="0" numFmtId="0" xfId="0" applyFont="1">
      <alignment vertical="center" wrapText="1"/>
    </xf>
    <xf fontId="22" fillId="39" borderId="12" numFmtId="49" xfId="0" applyNumberFormat="1" applyFont="1" applyFill="1" applyBorder="1">
      <alignment horizontal="left" vertical="center" wrapText="1"/>
      <protection locked="0"/>
    </xf>
    <xf fontId="47" fillId="0" borderId="0" numFmtId="0" xfId="0" applyFont="1">
      <alignment vertical="center"/>
    </xf>
    <xf fontId="36" fillId="35" borderId="12" numFmtId="0" xfId="0" applyFont="1" applyFill="1" applyBorder="1">
      <alignment horizontal="center" vertical="center" wrapText="1"/>
    </xf>
    <xf fontId="46" fillId="0" borderId="22" numFmtId="0" xfId="0" applyFont="1" applyBorder="1">
      <alignment vertical="center"/>
    </xf>
    <xf fontId="46" fillId="0" borderId="22" numFmtId="0" xfId="0" applyFont="1" applyBorder="1">
      <alignment vertical="center"/>
    </xf>
    <xf fontId="22" fillId="0" borderId="17" numFmtId="0" xfId="0" applyFont="1" applyBorder="1">
      <alignment horizontal="left" indent="1" vertical="center" wrapText="1"/>
    </xf>
    <xf fontId="22" fillId="0" borderId="57" numFmtId="49" xfId="0" applyNumberFormat="1" applyFont="1" applyBorder="1">
      <alignment horizontal="center" vertical="center" wrapText="1"/>
    </xf>
    <xf fontId="22" fillId="0" borderId="28" numFmtId="49" xfId="0" applyNumberFormat="1" applyFont="1" applyBorder="1">
      <alignment horizontal="center" vertical="center" wrapText="1"/>
    </xf>
    <xf fontId="22" fillId="0" borderId="0" numFmtId="0" xfId="0" applyFont="1">
      <alignment vertical="center" wrapText="1"/>
    </xf>
    <xf fontId="31" fillId="0" borderId="0" numFmtId="0" xfId="0" applyFont="1">
      <alignment vertical="center" wrapText="1"/>
    </xf>
    <xf fontId="36" fillId="0" borderId="0" numFmtId="0" xfId="0" applyFont="1">
      <alignment horizontal="center" vertical="center" wrapText="1"/>
    </xf>
    <xf fontId="22" fillId="0" borderId="12" numFmtId="0" xfId="0" applyFont="1" applyBorder="1">
      <alignment horizontal="center" vertical="center" wrapText="1"/>
    </xf>
    <xf fontId="22" fillId="0" borderId="0" numFmtId="0" xfId="0" applyFont="1">
      <alignment vertical="center" wrapText="1"/>
    </xf>
    <xf fontId="47" fillId="0" borderId="0" numFmtId="0" xfId="0" applyFont="1">
      <alignment vertical="center" wrapText="1"/>
    </xf>
    <xf fontId="22" fillId="0" borderId="12" numFmtId="0" xfId="0" applyFont="1" applyBorder="1">
      <alignment horizontal="center" vertical="center" wrapText="1"/>
    </xf>
    <xf fontId="22" fillId="0" borderId="0" numFmtId="49" xfId="0" applyNumberFormat="1" applyFont="1">
      <alignment horizontal="center" vertical="center" wrapText="1"/>
    </xf>
    <xf fontId="22" fillId="0" borderId="12" numFmtId="0" xfId="0" applyFont="1" applyBorder="1">
      <alignment horizontal="center" vertical="center" wrapText="1"/>
    </xf>
    <xf fontId="54" fillId="0" borderId="0" numFmtId="0" xfId="0" applyFont="1">
      <alignment vertical="center"/>
    </xf>
    <xf fontId="72" fillId="0" borderId="0" numFmtId="0" xfId="0" applyFont="1">
      <alignment vertical="center" wrapText="1"/>
    </xf>
    <xf fontId="47" fillId="0" borderId="0" numFmtId="0" xfId="0" applyFont="1">
      <alignment vertical="center" wrapText="1"/>
    </xf>
    <xf fontId="22" fillId="0" borderId="13" numFmtId="0" xfId="0" applyFont="1" applyBorder="1">
      <alignment horizontal="center" vertical="center" wrapText="1"/>
    </xf>
    <xf fontId="22" fillId="0" borderId="17" numFmtId="0" xfId="0" applyFont="1" applyBorder="1">
      <alignment horizontal="center" vertical="center" wrapText="1"/>
    </xf>
    <xf fontId="22" fillId="0" borderId="15" numFmtId="0" xfId="0" applyFont="1" applyBorder="1">
      <alignment horizontal="right" indent="1" vertical="center" wrapText="1"/>
    </xf>
    <xf fontId="22" fillId="0" borderId="12" numFmtId="0" xfId="0" applyFont="1" applyBorder="1">
      <alignment horizontal="center" vertical="center" wrapText="1"/>
    </xf>
    <xf fontId="22" fillId="0" borderId="0" numFmtId="0" xfId="0" applyFont="1">
      <alignment horizontal="left" vertical="top" wrapText="1"/>
    </xf>
    <xf fontId="22" fillId="0" borderId="12" numFmtId="0" xfId="0" applyFont="1" applyBorder="1">
      <alignment horizontal="center" vertical="center" wrapText="1"/>
    </xf>
    <xf fontId="22" fillId="40" borderId="12" numFmtId="49" xfId="0" applyNumberFormat="1" applyFont="1" applyFill="1" applyBorder="1">
      <alignment horizontal="left" vertical="center" wrapText="1"/>
    </xf>
    <xf fontId="22" fillId="0" borderId="12" numFmtId="0" xfId="0" applyFont="1" applyBorder="1">
      <alignment horizontal="left" indent="2" vertical="center" wrapText="1"/>
    </xf>
    <xf fontId="47" fillId="0" borderId="17" numFmtId="0" xfId="0" applyFont="1" applyBorder="1">
      <alignment horizontal="center" vertical="center" wrapText="1"/>
    </xf>
    <xf fontId="22" fillId="34" borderId="14" numFmtId="0" xfId="0" applyFont="1" applyFill="1" applyBorder="1">
      <alignment horizontal="left" vertical="top" wrapText="1"/>
    </xf>
    <xf fontId="22" fillId="0" borderId="12" numFmtId="0" xfId="0" applyFont="1" applyBorder="1">
      <alignment horizontal="center" vertical="center" wrapText="1"/>
    </xf>
    <xf fontId="22" fillId="0" borderId="13" numFmtId="0" xfId="0" applyFont="1" applyBorder="1">
      <alignment horizontal="center" vertical="center" wrapText="1"/>
    </xf>
    <xf fontId="22" fillId="0" borderId="17" numFmtId="0" xfId="0" applyFont="1" applyBorder="1">
      <alignment horizontal="center" vertical="center" wrapText="1"/>
    </xf>
    <xf fontId="22" fillId="0" borderId="15" numFmtId="0" xfId="0" applyFont="1" applyBorder="1">
      <alignment horizontal="right" indent="1" vertical="center" wrapText="1"/>
    </xf>
    <xf fontId="22" fillId="0" borderId="12" numFmtId="0" xfId="0" applyFont="1" applyBorder="1">
      <alignment horizontal="center" vertical="center" wrapText="1"/>
    </xf>
    <xf fontId="22" fillId="0" borderId="12" numFmtId="0" xfId="0" applyFont="1" applyBorder="1">
      <alignment horizontal="center" vertical="center" wrapText="1"/>
    </xf>
    <xf fontId="22" fillId="34" borderId="14" numFmtId="0" xfId="0" applyFont="1" applyFill="1" applyBorder="1">
      <alignment horizontal="left" vertical="top" wrapText="1"/>
    </xf>
    <xf fontId="22" fillId="0" borderId="12" numFmtId="0" xfId="0" applyFont="1" applyBorder="1">
      <alignment horizontal="center" vertical="center" wrapText="1"/>
    </xf>
    <xf fontId="0" fillId="0" borderId="12" numFmtId="49" xfId="0" applyNumberFormat="1" applyFont="1" applyBorder="1">
      <alignment vertical="center" wrapText="1"/>
    </xf>
    <xf fontId="47" fillId="0" borderId="14" numFmtId="0" xfId="0" applyFont="1" applyBorder="1">
      <alignment vertical="center" wrapText="1"/>
    </xf>
    <xf fontId="47" fillId="0" borderId="14" numFmtId="0" xfId="0" applyFont="1" applyBorder="1">
      <alignment horizontal="left" vertical="top" wrapText="1"/>
    </xf>
    <xf fontId="22" fillId="0" borderId="58" numFmtId="49" xfId="0" applyNumberFormat="1" applyFont="1" applyBorder="1">
      <alignment horizontal="center" vertical="center" wrapText="1"/>
    </xf>
    <xf fontId="22" fillId="0" borderId="17" numFmtId="0" xfId="0" applyFont="1" applyBorder="1">
      <alignment horizontal="left" vertical="center" wrapText="1"/>
    </xf>
    <xf fontId="39" fillId="37" borderId="19" numFmtId="49" xfId="0" applyNumberFormat="1" applyFont="1" applyFill="1" applyBorder="1">
      <alignment horizontal="left" indent="2" vertical="center"/>
    </xf>
    <xf fontId="0" fillId="0" borderId="12" numFmtId="49" xfId="0" applyNumberFormat="1" applyFont="1" applyBorder="1">
      <alignment horizontal="left" indent="1" vertical="center" wrapText="1"/>
    </xf>
    <xf fontId="0" fillId="0" borderId="12" numFmtId="49" xfId="0" applyNumberFormat="1" applyFont="1" applyBorder="1">
      <alignment horizontal="left" indent="2" vertical="center" wrapText="1"/>
    </xf>
    <xf fontId="22" fillId="0" borderId="0" numFmtId="49" xfId="0" applyNumberFormat="1" applyFont="1">
      <alignment vertical="center" wrapText="1"/>
    </xf>
    <xf fontId="0" fillId="0" borderId="12" numFmtId="0" xfId="0" applyFont="1" applyBorder="1">
      <alignment horizontal="center" vertical="center" wrapText="1"/>
    </xf>
    <xf fontId="22" fillId="40" borderId="12" numFmtId="49" xfId="0" applyNumberFormat="1" applyFont="1" applyFill="1" applyBorder="1">
      <alignment horizontal="left" indent="1" vertical="center" wrapText="1"/>
    </xf>
    <xf fontId="0" fillId="0" borderId="12" numFmtId="0" xfId="0" applyFont="1" applyBorder="1">
      <alignment horizontal="left" indent="1" vertical="center" wrapText="1"/>
    </xf>
    <xf fontId="0" fillId="35" borderId="12" numFmtId="49" xfId="0" applyNumberFormat="1" applyFont="1" applyFill="1" applyBorder="1">
      <alignment horizontal="center" vertical="center" wrapText="1"/>
    </xf>
    <xf fontId="22" fillId="40" borderId="12" numFmtId="49" xfId="0" applyNumberFormat="1" applyFont="1" applyFill="1" applyBorder="1">
      <alignment horizontal="left" vertical="center" wrapText="1"/>
    </xf>
    <xf fontId="22" fillId="0" borderId="59" numFmtId="49" xfId="0" applyNumberFormat="1" applyFont="1" applyBorder="1">
      <alignment horizontal="center" vertical="center" wrapText="1"/>
    </xf>
    <xf fontId="22" fillId="39" borderId="17" numFmtId="4" xfId="0" applyNumberFormat="1" applyFont="1" applyFill="1" applyBorder="1">
      <alignment horizontal="right" vertical="center" wrapText="1"/>
      <protection locked="0"/>
    </xf>
    <xf fontId="39" fillId="0" borderId="19" numFmtId="49" xfId="0" applyNumberFormat="1" applyFont="1" applyBorder="1">
      <alignment horizontal="left" vertical="center"/>
    </xf>
    <xf fontId="39" fillId="0" borderId="19" numFmtId="49" xfId="0" applyNumberFormat="1" applyFont="1" applyBorder="1">
      <alignment horizontal="left" indent="2" vertical="center"/>
    </xf>
    <xf fontId="43" fillId="0" borderId="19" numFmtId="49" xfId="0" applyNumberFormat="1" applyFont="1" applyBorder="1">
      <alignment horizontal="center" vertical="top"/>
    </xf>
    <xf fontId="22" fillId="0" borderId="19" numFmtId="0" xfId="0" applyFont="1" applyBorder="1">
      <alignment horizontal="left" vertical="top" wrapText="1"/>
    </xf>
    <xf fontId="22" fillId="0" borderId="0" numFmtId="0" xfId="0" applyFont="1">
      <alignment horizontal="right" vertical="top" wrapText="1"/>
    </xf>
    <xf fontId="0" fillId="39" borderId="12" numFmtId="49" xfId="0" applyNumberFormat="1" applyFont="1" applyFill="1" applyBorder="1">
      <alignment horizontal="left" indent="1" vertical="center" wrapText="1"/>
      <protection locked="0"/>
    </xf>
    <xf fontId="46" fillId="0" borderId="0" numFmtId="49" xfId="0" applyNumberFormat="1" applyFont="1">
      <alignment vertical="top"/>
    </xf>
    <xf fontId="22" fillId="40" borderId="12" numFmtId="49" xfId="0" applyNumberFormat="1" applyFont="1" applyFill="1" applyBorder="1">
      <alignment horizontal="left" vertical="center" wrapText="1"/>
    </xf>
    <xf fontId="22" fillId="40" borderId="14" numFmtId="49" xfId="0" applyNumberFormat="1" applyFont="1" applyFill="1" applyBorder="1">
      <alignment horizontal="left" vertical="center" wrapText="1"/>
    </xf>
    <xf fontId="22" fillId="35" borderId="0" numFmtId="0" xfId="0" applyFont="1" applyFill="1"/>
    <xf fontId="22" fillId="0" borderId="0" numFmtId="0" xfId="0" applyFont="1">
      <alignment vertical="top" wrapText="1"/>
    </xf>
    <xf fontId="36" fillId="35" borderId="0" numFmtId="0" xfId="0" applyFont="1" applyFill="1">
      <alignment horizontal="center" vertical="center" wrapText="1"/>
    </xf>
    <xf fontId="0" fillId="35" borderId="23" numFmtId="0" xfId="0" applyFont="1" applyFill="1" applyBorder="1">
      <alignment vertical="center" wrapText="1"/>
    </xf>
    <xf fontId="0" fillId="0" borderId="0" numFmtId="49" xfId="0" applyNumberFormat="1" applyFont="1">
      <alignment vertical="top"/>
    </xf>
    <xf fontId="0" fillId="0" borderId="0" numFmtId="0" xfId="0" applyFont="1">
      <alignment vertical="top"/>
    </xf>
    <xf fontId="31" fillId="47" borderId="0" numFmtId="49" xfId="0" applyNumberFormat="1" applyFont="1" applyFill="1">
      <alignment horizontal="center" vertical="center"/>
    </xf>
    <xf fontId="0" fillId="48" borderId="0" numFmtId="0" xfId="0" applyFont="1" applyFill="1">
      <alignment horizontal="left" vertical="center"/>
    </xf>
    <xf fontId="0" fillId="0" borderId="0" numFmtId="49" xfId="0" applyNumberFormat="1" applyFont="1">
      <alignment vertical="center"/>
    </xf>
    <xf fontId="0" fillId="48" borderId="0" numFmtId="0" xfId="0" applyFont="1" applyFill="1">
      <alignment horizontal="right" vertical="center"/>
    </xf>
    <xf fontId="54" fillId="48" borderId="0" numFmtId="0" xfId="0" applyFont="1" applyFill="1">
      <alignment horizontal="left" vertical="center"/>
    </xf>
    <xf fontId="0" fillId="0" borderId="0" numFmtId="0" xfId="0" applyFont="1">
      <alignment horizontal="right" vertical="top"/>
    </xf>
    <xf fontId="0" fillId="48" borderId="10" numFmtId="0" xfId="0" applyFont="1" applyFill="1" applyBorder="1">
      <alignment horizontal="center"/>
    </xf>
    <xf fontId="0" fillId="0" borderId="10" numFmtId="0" xfId="0" applyFont="1" applyBorder="1">
      <alignment horizontal="center"/>
    </xf>
    <xf fontId="115" fillId="0" borderId="0" numFmtId="0" xfId="0" applyFont="1">
      <alignment wrapText="1"/>
    </xf>
    <xf fontId="66" fillId="0" borderId="0" numFmtId="49" xfId="0" applyNumberFormat="1" applyFont="1">
      <alignment wrapText="1"/>
    </xf>
    <xf fontId="66" fillId="0" borderId="0" numFmtId="49" xfId="0" applyNumberFormat="1" applyFont="1">
      <alignment vertical="center" wrapText="1"/>
    </xf>
    <xf fontId="116" fillId="0" borderId="0" numFmtId="49" xfId="0" applyNumberFormat="1" applyFont="1">
      <alignment wrapText="1"/>
    </xf>
    <xf fontId="29" fillId="0" borderId="0" numFmtId="0" xfId="0" applyFont="1"/>
    <xf fontId="102" fillId="0" borderId="0" numFmtId="0" xfId="0" applyFont="1">
      <alignment horizontal="left" vertical="center" wrapText="1"/>
    </xf>
    <xf fontId="117" fillId="0" borderId="0" numFmtId="49" xfId="0" applyNumberFormat="1" applyFont="1">
      <alignment wrapText="1"/>
    </xf>
    <xf fontId="45" fillId="0" borderId="0" numFmtId="0" xfId="0" applyFont="1">
      <alignment horizontal="left" vertical="top" wrapText="1"/>
    </xf>
    <xf fontId="22" fillId="0" borderId="0" numFmtId="49" xfId="0" applyNumberFormat="1" applyFont="1">
      <alignment vertical="top" wrapText="1"/>
    </xf>
    <xf fontId="66" fillId="0" borderId="0" numFmtId="0" xfId="0" applyFont="1">
      <alignment wrapText="1"/>
    </xf>
    <xf fontId="118" fillId="0" borderId="0" numFmtId="0" xfId="0" applyFont="1">
      <alignment horizontal="left" vertical="center" wrapText="1"/>
    </xf>
    <xf fontId="119" fillId="0" borderId="0" numFmtId="0" xfId="0" applyFont="1">
      <alignment vertical="center" wrapText="1"/>
    </xf>
    <xf fontId="66" fillId="0" borderId="38" numFmtId="0" xfId="0" applyFont="1" applyBorder="1">
      <alignment wrapText="1"/>
    </xf>
    <xf fontId="66" fillId="0" borderId="0" numFmtId="0" xfId="0" applyFont="1"/>
    <xf fontId="118" fillId="0" borderId="0" numFmtId="0" xfId="0" applyFont="1"/>
    <xf fontId="120" fillId="0" borderId="0" numFmtId="0" xfId="0" applyFont="1">
      <alignment wrapText="1"/>
    </xf>
    <xf fontId="0" fillId="36" borderId="60" numFmtId="0" xfId="0" applyFont="1" applyFill="1" applyBorder="1">
      <alignment horizontal="center" vertical="center" wrapText="1"/>
    </xf>
    <xf fontId="0" fillId="53" borderId="60" numFmtId="0" xfId="0" applyFont="1" applyFill="1" applyBorder="1">
      <alignment horizontal="center" vertical="center" wrapText="1"/>
    </xf>
    <xf fontId="0" fillId="34" borderId="60" numFmtId="0" xfId="0" applyFont="1" applyFill="1" applyBorder="1">
      <alignment horizontal="center" vertical="center" wrapText="1"/>
    </xf>
    <xf fontId="0" fillId="39" borderId="60" numFmtId="0" xfId="0" applyFont="1" applyFill="1" applyBorder="1">
      <alignment horizontal="center" vertical="center" wrapText="1"/>
    </xf>
    <xf fontId="118" fillId="0" borderId="38" numFmtId="0" xfId="0" applyFont="1" applyBorder="1">
      <alignment horizontal="left" vertical="center" wrapText="1"/>
    </xf>
    <xf fontId="118" fillId="0" borderId="61" numFmtId="0" xfId="0" applyFont="1" applyBorder="1">
      <alignment horizontal="left" vertical="center" wrapText="1"/>
    </xf>
    <xf fontId="120" fillId="0" borderId="0" numFmtId="0" xfId="0" applyFont="1"/>
    <xf fontId="120" fillId="0" borderId="38" numFmtId="0" xfId="0" applyFont="1" applyBorder="1">
      <alignment wrapText="1"/>
    </xf>
    <xf fontId="66" fillId="0" borderId="62" numFmtId="0" xfId="0" applyFont="1" applyBorder="1">
      <alignment wrapText="1"/>
    </xf>
    <xf fontId="66" fillId="0" borderId="39" numFmtId="0" xfId="0" applyFont="1" applyBorder="1">
      <alignment wrapText="1"/>
    </xf>
    <xf fontId="66" fillId="0" borderId="39" numFmtId="0" xfId="0" applyFont="1" applyBorder="1">
      <alignment vertical="center" wrapText="1"/>
    </xf>
    <xf fontId="116" fillId="0" borderId="0" numFmtId="0" xfId="0" applyFont="1"/>
    <xf fontId="35" fillId="0" borderId="24" numFmtId="0" xfId="0" applyFont="1" applyBorder="1">
      <alignment horizontal="center" vertical="center" wrapText="1"/>
    </xf>
    <xf fontId="22" fillId="0" borderId="13" numFmtId="49" xfId="0" applyNumberFormat="1" applyFont="1" applyBorder="1">
      <alignment horizontal="center" vertical="center" wrapText="1"/>
    </xf>
    <xf fontId="121" fillId="0" borderId="0" numFmtId="49" xfId="0" applyNumberFormat="1" applyFont="1">
      <alignment horizontal="center" vertical="center" wrapText="1"/>
    </xf>
    <xf fontId="22" fillId="48" borderId="0" numFmtId="49" xfId="0" applyNumberFormat="1" applyFont="1" applyFill="1">
      <alignment horizontal="center" vertical="center"/>
    </xf>
    <xf fontId="0" fillId="39" borderId="12" numFmtId="190" xfId="0" applyNumberFormat="1" applyFont="1" applyFill="1" applyBorder="1">
      <alignment horizontal="left" indent="1" vertical="center" wrapText="1"/>
      <protection locked="0"/>
    </xf>
    <xf fontId="0" fillId="0" borderId="12" numFmtId="190" xfId="0" applyNumberFormat="1" applyFont="1" applyBorder="1">
      <alignment horizontal="left" indent="1" vertical="center" wrapText="1"/>
    </xf>
    <xf fontId="0" fillId="39" borderId="12" numFmtId="190" xfId="0" applyNumberFormat="1" applyFont="1" applyFill="1" applyBorder="1">
      <alignment horizontal="center" vertical="center" wrapText="1"/>
      <protection locked="0"/>
    </xf>
    <xf fontId="47" fillId="0" borderId="0" numFmtId="190" xfId="0" applyNumberFormat="1" applyFont="1">
      <alignment horizontal="center" vertical="center" wrapText="1"/>
    </xf>
    <xf fontId="47" fillId="0" borderId="12" numFmtId="190" xfId="0" applyNumberFormat="1" applyFont="1" applyBorder="1">
      <alignment horizontal="center" vertical="center" wrapText="1"/>
    </xf>
    <xf fontId="0" fillId="39" borderId="12" numFmtId="190" xfId="0" applyNumberFormat="1" applyFont="1" applyFill="1" applyBorder="1">
      <alignment horizontal="left" vertical="center" wrapText="1"/>
      <protection locked="0"/>
    </xf>
    <xf fontId="0" fillId="36" borderId="12" numFmtId="190" xfId="0" applyNumberFormat="1" applyFont="1" applyFill="1" applyBorder="1">
      <alignment horizontal="left" indent="1" vertical="center" wrapText="1"/>
      <protection locked="0"/>
    </xf>
    <xf fontId="0" fillId="39" borderId="13" numFmtId="190" xfId="0" applyNumberFormat="1" applyFont="1" applyFill="1" applyBorder="1">
      <alignment horizontal="left" vertical="center" wrapText="1"/>
      <protection locked="0"/>
    </xf>
    <xf fontId="22" fillId="0" borderId="0" numFmtId="0" xfId="0" applyFont="1">
      <alignment horizontal="left" indent="1" vertical="top"/>
    </xf>
    <xf fontId="22" fillId="34" borderId="30" numFmtId="0" xfId="0" applyFont="1" applyFill="1" applyBorder="1">
      <alignment horizontal="center" vertical="top"/>
    </xf>
    <xf fontId="0" fillId="0" borderId="34" numFmtId="0" xfId="0" applyFont="1" applyBorder="1">
      <alignment horizontal="center" vertical="center"/>
    </xf>
    <xf fontId="0" fillId="0" borderId="33" numFmtId="0" xfId="0" applyFont="1" applyBorder="1">
      <alignment horizontal="center" vertical="center"/>
    </xf>
    <xf fontId="22" fillId="34" borderId="30" numFmtId="0" xfId="0" applyFont="1" applyFill="1" applyBorder="1">
      <alignment horizontal="left" vertical="top"/>
    </xf>
    <xf fontId="22" fillId="0" borderId="12" numFmtId="0" xfId="0" applyFont="1" applyBorder="1">
      <alignment horizontal="left" vertical="top"/>
    </xf>
    <xf fontId="22" fillId="0" borderId="0" numFmtId="49" xfId="0" applyNumberFormat="1" applyFont="1">
      <alignment horizontal="left" vertical="top"/>
    </xf>
    <xf fontId="0" fillId="34" borderId="36" numFmtId="0" xfId="0" applyFont="1" applyFill="1" applyBorder="1">
      <alignment horizontal="left" indent="1" vertical="top" wrapText="1"/>
    </xf>
    <xf fontId="22" fillId="40" borderId="36" numFmtId="49" xfId="0" applyNumberFormat="1" applyFont="1" applyFill="1" applyBorder="1">
      <alignment horizontal="center" vertical="top" wrapText="1"/>
    </xf>
    <xf fontId="0" fillId="39" borderId="36" numFmtId="49" xfId="0" applyNumberFormat="1" applyFont="1" applyFill="1" applyBorder="1">
      <alignment horizontal="center" vertical="top" wrapText="1"/>
      <protection locked="0"/>
    </xf>
    <xf fontId="0" fillId="36" borderId="36" numFmtId="49" xfId="0" applyNumberFormat="1" applyFont="1" applyFill="1" applyBorder="1">
      <alignment horizontal="center" vertical="top" wrapText="1"/>
      <protection locked="0"/>
    </xf>
    <xf fontId="22" fillId="40" borderId="36" numFmtId="49" xfId="0" applyNumberFormat="1" applyFont="1" applyFill="1" applyBorder="1">
      <alignment horizontal="left" vertical="top" wrapText="1"/>
    </xf>
    <xf fontId="22" fillId="39" borderId="36" numFmtId="49" xfId="0" applyNumberFormat="1" applyFont="1" applyFill="1" applyBorder="1">
      <alignment horizontal="left" vertical="top" wrapText="1"/>
      <protection locked="0"/>
    </xf>
    <xf fontId="0" fillId="34" borderId="36" numFmtId="49" xfId="0" applyNumberFormat="1" applyFont="1" applyFill="1" applyBorder="1">
      <alignment horizontal="center" vertical="top" wrapText="1"/>
    </xf>
    <xf fontId="22" fillId="34" borderId="36" numFmtId="0" xfId="0" applyFont="1" applyFill="1" applyBorder="1">
      <alignment horizontal="center" vertical="top" wrapText="1"/>
    </xf>
    <xf fontId="22" fillId="36" borderId="36" numFmtId="0" xfId="0" applyFont="1" applyFill="1" applyBorder="1">
      <alignment horizontal="left" vertical="top" wrapText="1"/>
      <protection locked="0"/>
    </xf>
    <xf fontId="39" fillId="0" borderId="36" numFmtId="0" xfId="0" applyFont="1" applyBorder="1">
      <alignment horizontal="left" vertical="center"/>
    </xf>
    <xf fontId="39" fillId="36" borderId="36" numFmtId="0" xfId="0" applyFont="1" applyFill="1" applyBorder="1">
      <alignment horizontal="left" vertical="center"/>
      <protection locked="0"/>
    </xf>
    <xf fontId="39" fillId="39" borderId="36" numFmtId="0" xfId="0" applyFont="1" applyFill="1" applyBorder="1">
      <alignment horizontal="left" vertical="center"/>
      <protection locked="0"/>
    </xf>
    <xf fontId="22" fillId="40" borderId="36" numFmtId="14" xfId="0" applyNumberFormat="1" applyFont="1" applyFill="1" applyBorder="1">
      <alignment horizontal="left" indent="1" vertical="center" wrapText="1"/>
    </xf>
    <xf fontId="22" fillId="40" borderId="0" numFmtId="49" xfId="0" applyNumberFormat="1" applyFont="1" applyFill="1">
      <alignment horizontal="center" vertical="center" wrapText="1"/>
    </xf>
    <xf fontId="22" fillId="0" borderId="12" numFmtId="0" xfId="0" applyFont="1" applyBorder="1">
      <alignment horizontal="center" vertical="center" wrapText="1"/>
    </xf>
    <xf fontId="0" fillId="35" borderId="12" numFmtId="0" xfId="0" applyFont="1" applyFill="1" applyBorder="1">
      <alignment vertical="top" wrapText="1"/>
    </xf>
    <xf fontId="46" fillId="0" borderId="12" numFmtId="0" xfId="0" applyFont="1" applyBorder="1">
      <alignment vertical="top" wrapText="1"/>
    </xf>
    <xf fontId="22" fillId="40" borderId="17" numFmtId="49" xfId="0" applyNumberFormat="1" applyFont="1" applyFill="1" applyBorder="1">
      <alignment vertical="center" wrapText="1"/>
    </xf>
    <xf fontId="22" fillId="40" borderId="36" numFmtId="49" xfId="0" applyNumberFormat="1" applyFont="1" applyFill="1" applyBorder="1">
      <alignment vertical="center" wrapText="1"/>
    </xf>
    <xf fontId="22" fillId="40" borderId="23" numFmtId="49" xfId="0" applyNumberFormat="1" applyFont="1" applyFill="1" applyBorder="1">
      <alignment vertical="center" wrapText="1"/>
    </xf>
    <xf fontId="0" fillId="39" borderId="12" numFmtId="0" xfId="0" applyFont="1" applyFill="1" applyBorder="1">
      <alignment horizontal="left" indent="1" vertical="center" wrapText="1"/>
      <protection locked="0"/>
    </xf>
    <xf fontId="0" fillId="0" borderId="13" numFmtId="0" xfId="0" applyFont="1" applyBorder="1">
      <alignment horizontal="center" vertical="center" wrapText="1"/>
    </xf>
    <xf fontId="22" fillId="0" borderId="12" numFmtId="0" xfId="0" applyFont="1" applyBorder="1">
      <alignment horizontal="left" vertical="center" wrapText="1"/>
    </xf>
    <xf fontId="0" fillId="0" borderId="12" numFmtId="0" xfId="0" applyFont="1" applyBorder="1">
      <alignment horizontal="center" vertical="center" wrapText="1"/>
    </xf>
    <xf fontId="0" fillId="0" borderId="13" numFmtId="0" xfId="0" applyFont="1" applyBorder="1">
      <alignment horizontal="center" vertical="center" wrapText="1"/>
    </xf>
    <xf fontId="22" fillId="0" borderId="0" numFmtId="49" xfId="0" applyNumberFormat="1" applyFont="1">
      <alignment horizontal="left" indent="1" vertical="center"/>
    </xf>
    <xf fontId="0" fillId="39" borderId="14" numFmtId="190" xfId="0" applyNumberFormat="1" applyFont="1" applyFill="1" applyBorder="1">
      <alignment horizontal="left" vertical="center" wrapText="1"/>
      <protection locked="0"/>
    </xf>
    <xf fontId="0" fillId="0" borderId="11" numFmtId="190" xfId="0" applyNumberFormat="1" applyFont="1" applyBorder="1">
      <alignment horizontal="left" indent="1" vertical="center" wrapText="1"/>
    </xf>
    <xf fontId="22" fillId="35" borderId="26" numFmtId="49" xfId="0" applyNumberFormat="1" applyFont="1" applyFill="1" applyBorder="1">
      <alignment horizontal="right" indent="1" vertical="center" wrapText="1"/>
    </xf>
    <xf fontId="46" fillId="0" borderId="0" numFmtId="49" xfId="0" applyNumberFormat="1" applyFont="1">
      <alignment vertical="center" wrapText="1"/>
    </xf>
    <xf fontId="0" fillId="36" borderId="12" numFmtId="49" xfId="0" applyNumberFormat="1" applyFont="1" applyFill="1" applyBorder="1">
      <alignment horizontal="left" vertical="center" wrapText="1"/>
      <protection locked="0"/>
    </xf>
    <xf fontId="0" fillId="39" borderId="12" numFmtId="4" xfId="0" applyNumberFormat="1" applyFont="1" applyFill="1" applyBorder="1">
      <alignment horizontal="right" vertical="center" wrapText="1"/>
      <protection locked="0"/>
    </xf>
    <xf fontId="22" fillId="0" borderId="0" numFmtId="49" xfId="0" applyNumberFormat="1" applyFont="1">
      <alignment vertical="top" wrapText="1"/>
    </xf>
    <xf fontId="22" fillId="0" borderId="0" numFmtId="49" xfId="0" applyNumberFormat="1" applyFont="1">
      <alignment vertical="top"/>
    </xf>
    <xf fontId="22" fillId="0" borderId="0" numFmtId="49" xfId="0" applyNumberFormat="1" applyFont="1">
      <alignment vertical="top"/>
    </xf>
    <xf fontId="22" fillId="0" borderId="12" numFmtId="49" xfId="0" applyNumberFormat="1" applyFont="1" applyBorder="1">
      <alignment horizontal="center" vertical="center" wrapText="1"/>
    </xf>
    <xf fontId="22" fillId="0" borderId="19" numFmtId="49" xfId="0" applyNumberFormat="1" applyFont="1" applyBorder="1">
      <alignment horizontal="center" vertical="center" wrapText="1"/>
    </xf>
    <xf fontId="22" fillId="40" borderId="36" numFmtId="0" xfId="0" applyFont="1" applyFill="1" applyBorder="1">
      <alignment horizontal="center" vertical="top" wrapText="1"/>
    </xf>
    <xf fontId="22" fillId="0" borderId="19" numFmtId="49" xfId="0" applyNumberFormat="1" applyFont="1" applyBorder="1">
      <alignment horizontal="left" vertical="center" wrapText="1"/>
    </xf>
    <xf fontId="22" fillId="0" borderId="0" numFmtId="49" xfId="0" applyNumberFormat="1" applyFont="1">
      <alignment horizontal="center" vertical="center" wrapText="1"/>
    </xf>
    <xf fontId="22" fillId="40" borderId="36" numFmtId="49" xfId="0" applyNumberFormat="1" applyFont="1" applyFill="1" applyBorder="1">
      <alignment horizontal="center" vertical="center" wrapText="1"/>
    </xf>
    <xf fontId="39" fillId="0" borderId="0" numFmtId="0" xfId="0" applyFont="1">
      <alignment horizontal="left" vertical="center"/>
    </xf>
    <xf fontId="22" fillId="0" borderId="19" numFmtId="49" xfId="0" applyNumberFormat="1" applyFont="1" applyBorder="1">
      <alignment horizontal="left" vertical="center" wrapText="1"/>
    </xf>
    <xf fontId="22" fillId="0" borderId="0" numFmtId="49" xfId="0" applyNumberFormat="1" applyFont="1">
      <alignment horizontal="left" vertical="center" wrapText="1"/>
    </xf>
    <xf fontId="22" fillId="35" borderId="0" numFmtId="49" xfId="0" applyNumberFormat="1" applyFont="1" applyFill="1">
      <alignment horizontal="center" vertical="center" wrapText="1"/>
    </xf>
    <xf fontId="22" fillId="0" borderId="12" numFmtId="0" xfId="0" applyFont="1" applyBorder="1">
      <alignment horizontal="center" vertical="center" wrapText="1"/>
    </xf>
    <xf fontId="47" fillId="0" borderId="0" numFmtId="0" xfId="0" applyFont="1">
      <alignment horizontal="center" vertical="center" wrapText="1"/>
    </xf>
    <xf fontId="44" fillId="0" borderId="12" numFmtId="0" xfId="0" applyFont="1" applyBorder="1">
      <alignment horizontal="center" vertical="center"/>
    </xf>
    <xf fontId="0" fillId="39" borderId="12" numFmtId="49" xfId="0" applyNumberFormat="1" applyFont="1" applyFill="1" applyBorder="1">
      <alignment horizontal="left" vertical="center" wrapText="1"/>
      <protection locked="0"/>
    </xf>
    <xf fontId="46" fillId="0" borderId="0" numFmtId="0" xfId="0" applyFont="1">
      <alignment horizontal="center" vertical="top"/>
    </xf>
    <xf fontId="22" fillId="0" borderId="36" numFmtId="49" xfId="0" applyNumberFormat="1" applyFont="1" applyBorder="1">
      <alignment horizontal="center" vertical="top" wrapText="1"/>
    </xf>
    <xf fontId="22" fillId="0" borderId="12" numFmtId="0" xfId="0" applyFont="1" applyBorder="1">
      <alignment horizontal="left" vertical="center" wrapText="1"/>
    </xf>
    <xf fontId="35" fillId="0" borderId="12" numFmtId="0" xfId="0" applyFont="1" applyBorder="1">
      <alignment horizontal="center" vertical="center" wrapText="1"/>
    </xf>
    <xf fontId="39" fillId="37" borderId="51" numFmtId="49" xfId="0" applyNumberFormat="1" applyFont="1" applyFill="1" applyBorder="1">
      <alignment horizontal="left" indent="1" vertical="center"/>
    </xf>
    <xf fontId="22" fillId="36" borderId="12" numFmtId="49" xfId="0" applyNumberFormat="1" applyFont="1" applyFill="1" applyBorder="1">
      <alignment horizontal="left" vertical="center" wrapText="1"/>
      <protection locked="0"/>
    </xf>
    <xf fontId="47" fillId="0" borderId="12" numFmtId="49" xfId="0" applyNumberFormat="1" applyFont="1" applyBorder="1">
      <alignment horizontal="center" vertical="center" wrapText="1"/>
    </xf>
    <xf fontId="0" fillId="39" borderId="12" numFmtId="190" xfId="0" applyNumberFormat="1" applyFont="1" applyFill="1" applyBorder="1">
      <alignment horizontal="center" vertical="center" wrapText="1"/>
      <protection locked="0"/>
    </xf>
    <xf fontId="0" fillId="39" borderId="12" numFmtId="49" xfId="0" applyNumberFormat="1" applyFont="1" applyFill="1" applyBorder="1">
      <alignment horizontal="center" vertical="center" wrapText="1"/>
      <protection locked="0"/>
    </xf>
    <xf fontId="22" fillId="0" borderId="12" numFmtId="0" xfId="0" applyFont="1" applyBorder="1">
      <alignment horizontal="center" vertical="center" wrapText="1"/>
    </xf>
    <xf fontId="46" fillId="0" borderId="0" numFmtId="0" xfId="0" applyFont="1">
      <alignment horizontal="center" vertical="center" wrapText="1"/>
    </xf>
    <xf fontId="0" fillId="0" borderId="12" numFmtId="0" xfId="0" applyFont="1" applyBorder="1">
      <alignment horizontal="left" vertical="center" wrapText="1"/>
    </xf>
    <xf fontId="22" fillId="0" borderId="36" numFmtId="0" xfId="0" applyFont="1" applyBorder="1">
      <alignment horizontal="center" vertical="center" wrapText="1"/>
    </xf>
    <xf fontId="22" fillId="35" borderId="14" numFmtId="0" xfId="0" applyFont="1" applyFill="1" applyBorder="1">
      <alignment horizontal="center" vertical="center" wrapText="1"/>
    </xf>
    <xf fontId="0" fillId="35" borderId="12" numFmtId="49" xfId="0" applyNumberFormat="1" applyFont="1" applyFill="1" applyBorder="1">
      <alignment horizontal="center" vertical="center" wrapText="1"/>
    </xf>
    <xf fontId="22" fillId="0" borderId="12" numFmtId="49" xfId="0" applyNumberFormat="1" applyFont="1" applyBorder="1">
      <alignment horizontal="center" vertical="center" wrapText="1"/>
    </xf>
    <xf fontId="22" fillId="40" borderId="14" numFmtId="49" xfId="0" applyNumberFormat="1" applyFont="1" applyFill="1" applyBorder="1">
      <alignment horizontal="left" vertical="center" wrapText="1"/>
    </xf>
    <xf fontId="22" fillId="0" borderId="23" numFmtId="0" xfId="0" applyFont="1" applyBorder="1">
      <alignment horizontal="center" vertical="center" wrapText="1"/>
    </xf>
    <xf fontId="44" fillId="0" borderId="13" numFmtId="0" xfId="0" applyFont="1" applyBorder="1">
      <alignment horizontal="center" vertical="center"/>
    </xf>
    <xf fontId="0" fillId="38" borderId="0" numFmtId="49" xfId="0" applyNumberFormat="1" applyFont="1" applyFill="1">
      <alignment vertical="top"/>
    </xf>
    <xf fontId="36" fillId="35" borderId="0" numFmtId="0" xfId="0" applyFont="1" applyFill="1">
      <alignment horizontal="center" vertical="center" wrapText="1"/>
    </xf>
    <xf fontId="36" fillId="35" borderId="0" numFmtId="0" xfId="0" applyFont="1" applyFill="1">
      <alignment horizontal="center"/>
    </xf>
    <xf fontId="36" fillId="0" borderId="0" numFmtId="0" xfId="0" applyFont="1">
      <alignment horizontal="center" vertical="center" wrapText="1"/>
    </xf>
    <xf fontId="41" fillId="0" borderId="0" numFmtId="0" xfId="0" applyFont="1">
      <alignment vertical="center" wrapText="1"/>
    </xf>
    <xf fontId="0" fillId="0" borderId="0" numFmtId="0" xfId="0" applyFont="1">
      <alignment vertical="center"/>
    </xf>
    <xf fontId="0" fillId="0" borderId="12" numFmtId="49" xfId="0" applyNumberFormat="1" applyFont="1" applyBorder="1">
      <alignment vertical="top"/>
    </xf>
    <xf fontId="0" fillId="0" borderId="12" numFmtId="49" xfId="0" applyNumberFormat="1" applyFont="1" applyBorder="1">
      <alignment vertical="top"/>
    </xf>
    <xf fontId="22" fillId="0" borderId="0" numFmtId="49" xfId="0" applyNumberFormat="1" applyFont="1">
      <alignment vertical="top"/>
    </xf>
    <xf fontId="36" fillId="35" borderId="0" numFmtId="0" xfId="0" applyFont="1" applyFill="1">
      <alignment vertical="top" wrapText="1"/>
    </xf>
    <xf fontId="122" fillId="39" borderId="12" numFmtId="49" xfId="0" applyNumberFormat="1" applyFont="1" applyFill="1" applyBorder="1">
      <alignment horizontal="left" vertical="center" wrapText="1"/>
      <protection locked="0"/>
    </xf>
    <xf fontId="36" fillId="0" borderId="0" numFmtId="49" xfId="0" applyNumberFormat="1" applyFont="1">
      <alignment horizontal="center" vertical="center" wrapText="1"/>
    </xf>
    <xf fontId="36" fillId="0" borderId="24" numFmtId="0" xfId="0" applyFont="1" applyBorder="1">
      <alignment horizontal="center" vertical="center" wrapText="1"/>
    </xf>
    <xf fontId="123" fillId="0" borderId="0" numFmtId="49" xfId="0" applyNumberFormat="1" applyFont="1">
      <alignment horizontal="center" vertical="top" wrapText="1"/>
    </xf>
    <xf fontId="0" fillId="34" borderId="36" numFmtId="49" xfId="0" applyNumberFormat="1" applyFont="1" applyFill="1" applyBorder="1">
      <alignment vertical="top"/>
    </xf>
    <xf fontId="0" fillId="0" borderId="36" numFmtId="49" xfId="0" applyNumberFormat="1" applyFont="1" applyBorder="1">
      <alignment vertical="top"/>
    </xf>
    <xf fontId="0" fillId="39" borderId="36" numFmtId="49" xfId="0" applyNumberFormat="1" applyFont="1" applyFill="1" applyBorder="1">
      <alignment vertical="top"/>
      <protection locked="0"/>
    </xf>
    <xf fontId="0" fillId="39" borderId="17" numFmtId="49" xfId="0" applyNumberFormat="1" applyFont="1" applyFill="1" applyBorder="1">
      <alignment vertical="top"/>
      <protection locked="0"/>
    </xf>
    <xf fontId="0" fillId="39" borderId="23" numFmtId="49" xfId="0" applyNumberFormat="1" applyFont="1" applyFill="1" applyBorder="1">
      <alignment vertical="top"/>
      <protection locked="0"/>
    </xf>
    <xf fontId="123" fillId="0" borderId="36" numFmtId="49" xfId="0" applyNumberFormat="1" applyFont="1" applyBorder="1">
      <alignment horizontal="center" vertical="top" wrapText="1"/>
    </xf>
    <xf fontId="0" fillId="0" borderId="0" numFmtId="49" xfId="0" applyNumberFormat="1" applyFont="1">
      <alignment vertical="top"/>
    </xf>
    <xf fontId="0" fillId="0" borderId="19" numFmtId="49" xfId="0" applyNumberFormat="1" applyFont="1" applyBorder="1">
      <alignment vertical="top"/>
    </xf>
    <xf fontId="0" fillId="0" borderId="22" numFmtId="49" xfId="0" applyNumberFormat="1" applyFont="1" applyBorder="1">
      <alignment vertical="top"/>
    </xf>
    <xf fontId="0" fillId="0" borderId="24" numFmtId="49" xfId="0" applyNumberFormat="1" applyFont="1" applyBorder="1">
      <alignment vertical="top"/>
    </xf>
    <xf fontId="0" fillId="0" borderId="0" numFmtId="49" xfId="0" applyNumberFormat="1" applyFont="1">
      <alignment horizontal="left" vertical="top"/>
    </xf>
    <xf fontId="0" fillId="0" borderId="0" numFmtId="49" xfId="0" applyNumberFormat="1" applyFont="1">
      <alignment vertical="center"/>
    </xf>
    <xf fontId="0" fillId="0" borderId="0" numFmtId="0" xfId="0" applyFont="1">
      <alignment vertical="center"/>
    </xf>
    <xf fontId="36" fillId="0" borderId="0" numFmtId="0" xfId="0" applyFont="1">
      <alignment horizontal="center" vertical="center" wrapText="1"/>
    </xf>
    <xf fontId="0" fillId="39" borderId="12" numFmtId="49" xfId="0" applyNumberFormat="1" applyFont="1" applyFill="1" applyBorder="1">
      <alignment horizontal="left" vertical="center" wrapText="1"/>
      <protection locked="0"/>
    </xf>
    <xf fontId="0" fillId="0" borderId="0" numFmtId="0" xfId="0" applyFont="1">
      <alignment horizontal="left" indent="1" vertical="center"/>
    </xf>
    <xf fontId="0" fillId="0" borderId="0" numFmtId="0" xfId="0" applyFont="1">
      <alignment vertical="center"/>
    </xf>
    <xf fontId="0" fillId="37" borderId="15" numFmtId="0" xfId="0" applyFont="1" applyFill="1" applyBorder="1">
      <alignment vertical="center"/>
    </xf>
    <xf fontId="0" fillId="0" borderId="36" numFmtId="49" xfId="0" applyNumberFormat="1" applyFont="1" applyBorder="1">
      <alignment horizontal="left" vertical="top"/>
    </xf>
    <xf fontId="0" fillId="40" borderId="36" numFmtId="49" xfId="0" applyNumberFormat="1" applyFont="1" applyFill="1" applyBorder="1">
      <alignment horizontal="left" vertical="top"/>
    </xf>
    <xf fontId="0" fillId="36" borderId="36" numFmtId="49" xfId="0" applyNumberFormat="1" applyFont="1" applyFill="1" applyBorder="1">
      <alignment horizontal="left" vertical="top"/>
      <protection locked="0"/>
    </xf>
    <xf fontId="0" fillId="0" borderId="0" numFmtId="49" xfId="0" applyNumberFormat="1" applyFont="1">
      <alignment vertical="top"/>
    </xf>
    <xf fontId="0" fillId="36" borderId="36" numFmtId="49" xfId="0" applyNumberFormat="1" applyFont="1" applyFill="1" applyBorder="1">
      <alignment vertical="top"/>
      <protection locked="0"/>
    </xf>
    <xf fontId="0" fillId="0" borderId="19" numFmtId="49" xfId="0" applyNumberFormat="1" applyFont="1" applyBorder="1">
      <alignment horizontal="left" vertical="center" wrapText="1"/>
    </xf>
    <xf fontId="0" fillId="0" borderId="0" numFmtId="0" xfId="0" applyFont="1">
      <alignment vertical="center"/>
    </xf>
    <xf fontId="0" fillId="0" borderId="27" numFmtId="0" xfId="0" applyFont="1" applyBorder="1">
      <alignment vertical="center"/>
    </xf>
    <xf fontId="36" fillId="0" borderId="36" numFmtId="49" xfId="0" applyNumberFormat="1" applyFont="1" applyBorder="1">
      <alignment vertical="center" wrapText="1"/>
    </xf>
    <xf fontId="36" fillId="0" borderId="36" numFmtId="49" xfId="0" applyNumberFormat="1" applyFont="1" applyBorder="1">
      <alignment horizontal="center" vertical="center" wrapText="1"/>
    </xf>
    <xf fontId="36" fillId="0" borderId="19" numFmtId="49" xfId="0" applyNumberFormat="1" applyFont="1" applyBorder="1">
      <alignment vertical="center" wrapText="1"/>
    </xf>
    <xf fontId="36" fillId="0" borderId="0" numFmtId="49" xfId="0" applyNumberFormat="1" applyFont="1">
      <alignment vertical="center" wrapText="1"/>
    </xf>
    <xf fontId="36" fillId="0" borderId="0" numFmtId="49" xfId="0" applyNumberFormat="1" applyFont="1">
      <alignment horizontal="center" vertical="center" wrapText="1"/>
    </xf>
    <xf fontId="22" fillId="35" borderId="23" numFmtId="0" xfId="0" applyFont="1" applyFill="1" applyBorder="1">
      <alignment horizontal="center" vertical="center" wrapText="1"/>
    </xf>
    <xf fontId="22" fillId="0" borderId="36" numFmtId="0" xfId="0" applyFont="1" applyBorder="1">
      <alignment horizontal="left" vertical="top" wrapText="1"/>
    </xf>
    <xf fontId="0" fillId="0" borderId="13" numFmtId="0" xfId="0" applyFont="1" applyBorder="1">
      <alignment horizontal="center" vertical="center" wrapText="1"/>
    </xf>
    <xf fontId="0" fillId="39" borderId="13" numFmtId="4" xfId="0" applyNumberFormat="1" applyFont="1" applyFill="1" applyBorder="1">
      <alignment horizontal="right" vertical="center" wrapText="1"/>
      <protection locked="0"/>
    </xf>
    <xf fontId="0" fillId="0" borderId="13" numFmtId="0" xfId="0" applyFont="1" applyBorder="1">
      <alignment horizontal="center" vertical="center" wrapText="1"/>
    </xf>
    <xf fontId="22" fillId="40" borderId="12" numFmtId="0" xfId="0" applyFont="1" applyFill="1" applyBorder="1">
      <alignment horizontal="left" vertical="center" wrapText="1"/>
    </xf>
    <xf fontId="0" fillId="35" borderId="17" numFmtId="49" xfId="0" applyNumberFormat="1" applyFont="1" applyFill="1" applyBorder="1">
      <alignment horizontal="center" vertical="center" wrapText="1"/>
    </xf>
    <xf fontId="0" fillId="0" borderId="23" numFmtId="0" xfId="0" applyFont="1" applyBorder="1">
      <alignment horizontal="center" vertical="center" wrapText="1"/>
    </xf>
    <xf fontId="22" fillId="40" borderId="14" numFmtId="0" xfId="0" applyFont="1" applyFill="1" applyBorder="1">
      <alignment horizontal="left" vertical="center" wrapText="1"/>
    </xf>
    <xf fontId="0" fillId="0" borderId="12" numFmtId="49" xfId="0" applyNumberFormat="1" applyFont="1" applyBorder="1">
      <alignment horizontal="center" vertical="center" wrapText="1"/>
    </xf>
    <xf fontId="44" fillId="54" borderId="0" numFmtId="49" xfId="0" applyNumberFormat="1" applyFont="1" applyFill="1">
      <alignment vertical="center" wrapText="1"/>
    </xf>
    <xf fontId="46" fillId="0" borderId="0" numFmtId="0" xfId="0" applyFont="1">
      <alignment vertical="top" wrapText="1"/>
    </xf>
    <xf fontId="31" fillId="0" borderId="0" numFmtId="49" xfId="0" applyNumberFormat="1" applyFont="1">
      <alignment horizontal="center" vertical="top" wrapText="1"/>
    </xf>
    <xf fontId="22" fillId="0" borderId="0" numFmtId="49" xfId="0" applyNumberFormat="1" applyFont="1">
      <alignment horizontal="center" vertical="top" wrapText="1"/>
    </xf>
    <xf fontId="22" fillId="35" borderId="0" numFmtId="49" xfId="0" applyNumberFormat="1" applyFont="1" applyFill="1">
      <alignment horizontal="center" vertical="top" wrapText="1"/>
    </xf>
    <xf fontId="0" fillId="0" borderId="36" numFmtId="0" xfId="0" applyFont="1" applyBorder="1">
      <alignment horizontal="center" vertical="center" wrapText="1"/>
    </xf>
    <xf fontId="22" fillId="0" borderId="13" numFmtId="0" xfId="0" applyFont="1" applyBorder="1">
      <alignment horizontal="center" vertical="center" wrapText="1"/>
    </xf>
    <xf fontId="22" fillId="0" borderId="13" numFmtId="0" xfId="0" applyFont="1" applyBorder="1">
      <alignment horizontal="center" vertical="center" wrapText="1"/>
    </xf>
    <xf fontId="22" fillId="0" borderId="12" numFmtId="0" xfId="0" applyFont="1" applyBorder="1">
      <alignment horizontal="center" vertical="center" wrapText="1"/>
    </xf>
    <xf fontId="22" fillId="0" borderId="17" numFmtId="0" xfId="0" applyFont="1" applyBorder="1">
      <alignment horizontal="center" vertical="center" wrapText="1"/>
    </xf>
    <xf fontId="22" fillId="0" borderId="12" numFmtId="0" xfId="0" applyFont="1" applyBorder="1">
      <alignment horizontal="left" vertical="center" wrapText="1"/>
    </xf>
    <xf fontId="22" fillId="0" borderId="12" numFmtId="0" xfId="0" applyFont="1" applyBorder="1">
      <alignment horizontal="center" vertical="center" wrapText="1"/>
    </xf>
    <xf fontId="46" fillId="0" borderId="0" numFmtId="0" xfId="0" applyFont="1">
      <alignment horizontal="center" vertical="center" wrapText="1"/>
    </xf>
    <xf fontId="46" fillId="0" borderId="12" numFmtId="0" xfId="0" applyFont="1" applyBorder="1">
      <alignment horizontal="center" vertical="center" wrapText="1"/>
    </xf>
    <xf fontId="22" fillId="39" borderId="12" numFmtId="0" xfId="0" applyFont="1" applyFill="1" applyBorder="1">
      <alignment horizontal="center" vertical="center" wrapText="1"/>
      <protection locked="0"/>
    </xf>
    <xf fontId="22" fillId="34" borderId="12" numFmtId="49" xfId="0" applyNumberFormat="1" applyFont="1" applyFill="1" applyBorder="1">
      <alignment horizontal="center" vertical="center" wrapText="1"/>
    </xf>
    <xf fontId="0" fillId="0" borderId="12" numFmtId="0" xfId="0" applyFont="1" applyBorder="1">
      <alignment horizontal="left" vertical="top" wrapText="1"/>
    </xf>
    <xf fontId="22" fillId="40" borderId="12" numFmtId="14" xfId="0" applyNumberFormat="1" applyFont="1" applyFill="1" applyBorder="1">
      <alignment horizontal="left" indent="1" vertical="center" wrapText="1"/>
    </xf>
    <xf fontId="124" fillId="0" borderId="12" numFmtId="49" xfId="0" applyNumberFormat="1" applyFont="1" applyBorder="1">
      <alignment horizontal="left" indent="1" vertical="center" wrapText="1"/>
    </xf>
    <xf fontId="22" fillId="0" borderId="14" numFmtId="0" xfId="0" applyFont="1" applyBorder="1">
      <alignment horizontal="center" vertical="center" wrapText="1"/>
    </xf>
    <xf fontId="22" fillId="0" borderId="12" numFmtId="49" xfId="0" applyNumberFormat="1" applyFont="1" applyBorder="1">
      <alignment horizontal="center" vertical="center" wrapText="1"/>
    </xf>
    <xf fontId="22" fillId="0" borderId="23" numFmtId="0" xfId="0" applyFont="1" applyBorder="1">
      <alignment horizontal="left" indent="1" vertical="center" wrapText="1"/>
    </xf>
    <xf fontId="22" fillId="34" borderId="12" numFmtId="0" xfId="0" applyFont="1" applyFill="1" applyBorder="1">
      <alignment horizontal="left" indent="1" vertical="center" wrapText="1"/>
    </xf>
    <xf fontId="47" fillId="0" borderId="0" numFmtId="0" xfId="0" applyFont="1">
      <alignment horizontal="center" vertical="center" wrapText="1"/>
    </xf>
    <xf fontId="22" fillId="0" borderId="23" numFmtId="191" xfId="0" applyNumberFormat="1" applyFont="1" applyBorder="1">
      <alignment horizontal="center" vertical="center" wrapText="1"/>
    </xf>
    <xf fontId="22" fillId="0" borderId="0" numFmtId="0" xfId="0" applyFont="1">
      <alignment horizontal="right" vertical="center" wrapText="1"/>
    </xf>
    <xf fontId="22" fillId="35" borderId="12" numFmtId="0" xfId="0" applyFont="1" applyFill="1" applyBorder="1">
      <alignment vertical="top" wrapText="1"/>
    </xf>
    <xf fontId="22" fillId="35" borderId="12" numFmtId="0" xfId="0" applyFont="1" applyFill="1" applyBorder="1">
      <alignment horizontal="left" vertical="top" wrapText="1"/>
    </xf>
    <xf fontId="53" fillId="36" borderId="23" numFmtId="49" xfId="0" applyNumberFormat="1" applyFont="1" applyFill="1" applyBorder="1">
      <alignment horizontal="left" vertical="center" wrapText="1"/>
      <protection locked="0"/>
    </xf>
    <xf fontId="0" fillId="37" borderId="29" numFmtId="49" xfId="0" applyNumberFormat="1" applyFont="1" applyFill="1" applyBorder="1">
      <alignment horizontal="right" vertical="center" wrapText="1"/>
    </xf>
    <xf fontId="22" fillId="0" borderId="0" numFmtId="0" xfId="0" applyFont="1">
      <alignment horizontal="left" vertical="center" wrapText="1"/>
    </xf>
    <xf fontId="0" fillId="48" borderId="0" numFmtId="0" xfId="0" applyFont="1" applyFill="1">
      <alignment horizontal="right" vertical="top" wrapText="1"/>
    </xf>
    <xf fontId="22" fillId="0" borderId="0" numFmtId="0" xfId="0" applyFont="1">
      <alignment horizontal="left" vertical="top" wrapText="1"/>
    </xf>
    <xf fontId="22" fillId="0" borderId="23" numFmtId="14" xfId="0" applyNumberFormat="1" applyFont="1" applyBorder="1">
      <alignment horizontal="left" indent="1" vertical="center" wrapText="1"/>
    </xf>
    <xf fontId="22" fillId="0" borderId="12" numFmtId="0" xfId="0" applyFont="1" applyBorder="1">
      <alignment horizontal="center" vertical="center" wrapText="1"/>
    </xf>
    <xf fontId="22" fillId="0" borderId="23" numFmtId="0" xfId="0" applyFont="1" applyBorder="1">
      <alignment horizontal="center" vertical="center" wrapText="1"/>
    </xf>
    <xf fontId="22" fillId="34" borderId="12" numFmtId="0" xfId="0" applyFont="1" applyFill="1" applyBorder="1">
      <alignment horizontal="left" indent="1" vertical="center" wrapText="1"/>
    </xf>
    <xf fontId="47" fillId="0" borderId="0" numFmtId="0" xfId="0" applyFont="1">
      <alignment horizontal="center" vertical="center" wrapText="1"/>
    </xf>
    <xf fontId="22" fillId="34" borderId="12" numFmtId="0" xfId="0" applyFont="1" applyFill="1" applyBorder="1">
      <alignment horizontal="left" vertical="center" wrapText="1"/>
    </xf>
    <xf fontId="22" fillId="0" borderId="12" numFmtId="191" xfId="0" applyNumberFormat="1" applyFont="1" applyBorder="1">
      <alignment horizontal="center" vertical="center" wrapText="1"/>
    </xf>
    <xf fontId="22" fillId="0" borderId="14" numFmtId="0" xfId="0" applyFont="1" applyBorder="1">
      <alignment horizontal="center" vertical="center" wrapText="1"/>
    </xf>
    <xf fontId="47" fillId="0" borderId="0" numFmtId="0" xfId="0" applyFont="1">
      <alignment horizontal="center" vertical="center" wrapText="1"/>
    </xf>
    <xf fontId="22" fillId="39" borderId="12" numFmtId="49" xfId="0" applyNumberFormat="1" applyFont="1" applyFill="1" applyBorder="1">
      <alignment horizontal="left" vertical="center" wrapText="1"/>
      <protection locked="0"/>
    </xf>
    <xf fontId="22" fillId="35" borderId="36" numFmtId="0" xfId="0" applyFont="1" applyFill="1" applyBorder="1">
      <alignment vertical="center" wrapText="1"/>
    </xf>
    <xf fontId="44" fillId="0" borderId="19" numFmtId="191" xfId="0" applyNumberFormat="1" applyFont="1" applyBorder="1">
      <alignment horizontal="center" vertical="center" wrapText="1"/>
    </xf>
    <xf fontId="44" fillId="0" borderId="20" numFmtId="191" xfId="0" applyNumberFormat="1" applyFont="1" applyBorder="1">
      <alignment horizontal="center" vertical="center" wrapText="1"/>
    </xf>
    <xf fontId="22" fillId="39" borderId="12" numFmtId="192" xfId="0" applyNumberFormat="1" applyFont="1" applyFill="1" applyBorder="1">
      <alignment horizontal="left" indent="1" vertical="center" wrapText="1"/>
      <protection locked="0"/>
    </xf>
    <xf fontId="0" fillId="39" borderId="15" numFmtId="190" xfId="0" applyNumberFormat="1" applyFont="1" applyFill="1" applyBorder="1">
      <alignment horizontal="left" indent="1" vertical="center" wrapText="1"/>
      <protection locked="0"/>
    </xf>
    <xf fontId="22" fillId="39" borderId="27" numFmtId="49" xfId="0" applyNumberFormat="1" applyFont="1" applyFill="1" applyBorder="1">
      <alignment horizontal="left" vertical="center" wrapText="1"/>
      <protection locked="0"/>
    </xf>
    <xf fontId="22" fillId="39" borderId="30" numFmtId="49" xfId="0" applyNumberFormat="1" applyFont="1" applyFill="1" applyBorder="1">
      <alignment horizontal="left" vertical="center" wrapText="1"/>
      <protection locked="0"/>
    </xf>
    <xf fontId="53" fillId="37" borderId="29" numFmtId="49" xfId="0" applyNumberFormat="1" applyFont="1" applyFill="1" applyBorder="1">
      <alignment horizontal="left" vertical="center" wrapText="1"/>
    </xf>
    <xf fontId="22" fillId="39" borderId="12" numFmtId="0" xfId="0" applyFont="1" applyFill="1" applyBorder="1">
      <alignment horizontal="left" indent="1" vertical="top" wrapText="1"/>
      <protection locked="0"/>
    </xf>
    <xf fontId="22" fillId="0" borderId="15" numFmtId="0" xfId="0" applyFont="1" applyBorder="1">
      <alignment horizontal="center" vertical="center" wrapText="1"/>
    </xf>
    <xf fontId="47" fillId="0" borderId="0" numFmtId="0" xfId="0" applyFont="1">
      <alignment horizontal="center" vertical="center" wrapText="1"/>
    </xf>
    <xf fontId="22" fillId="35" borderId="22" numFmtId="0" xfId="0" applyFont="1" applyFill="1" applyBorder="1">
      <alignment vertical="center" wrapText="1"/>
    </xf>
    <xf fontId="35" fillId="0" borderId="0" numFmtId="0" xfId="61" applyNumberFormat="1" applyFont="1">
      <alignment horizontal="center" vertical="center" wrapText="1"/>
    </xf>
    <xf fontId="35" fillId="0" borderId="0" numFmtId="0" xfId="61" applyNumberFormat="1" applyFont="1">
      <alignment horizontal="center" vertical="center" wrapText="1"/>
    </xf>
    <xf fontId="35" fillId="0" borderId="0" numFmtId="0" xfId="61" applyNumberFormat="1" applyFont="1">
      <alignment horizontal="center" vertical="center" wrapText="1"/>
    </xf>
    <xf fontId="35" fillId="0" borderId="0" numFmtId="0" xfId="61" applyNumberFormat="1" applyFont="1">
      <alignment horizontal="center" vertical="center" wrapText="1"/>
    </xf>
    <xf fontId="35" fillId="0" borderId="12" numFmtId="0" xfId="61" applyNumberFormat="1" applyFont="1" applyBorder="1">
      <alignment horizontal="center" vertical="center" wrapText="1"/>
    </xf>
    <xf fontId="22" fillId="0" borderId="12" numFmtId="0" xfId="0" applyFont="1" applyBorder="1">
      <alignment horizontal="left" vertical="top" wrapText="1"/>
    </xf>
    <xf fontId="22" fillId="0" borderId="19" numFmtId="49" xfId="0" applyNumberFormat="1" applyFont="1" applyBorder="1">
      <alignment horizontal="center" vertical="center" wrapText="1"/>
    </xf>
    <xf fontId="22" fillId="0" borderId="0" numFmtId="49" xfId="0" applyNumberFormat="1" applyFont="1">
      <alignment horizontal="center" vertical="center" wrapText="1"/>
    </xf>
    <xf fontId="0" fillId="0" borderId="19" numFmtId="49" xfId="0" applyNumberFormat="1" applyFont="1" applyBorder="1">
      <alignment horizontal="left" vertical="center" wrapText="1"/>
    </xf>
    <xf fontId="39" fillId="0" borderId="0" numFmtId="0" xfId="0" applyFont="1">
      <alignment horizontal="left" vertical="center"/>
    </xf>
    <xf fontId="39" fillId="0" borderId="24" numFmtId="0" xfId="0" applyFont="1" applyBorder="1">
      <alignment horizontal="left" vertical="center"/>
    </xf>
    <xf fontId="39" fillId="0" borderId="27" numFmtId="0" xfId="0" applyFont="1" applyBorder="1">
      <alignment horizontal="left" vertical="center"/>
    </xf>
    <xf fontId="39" fillId="0" borderId="29" numFmtId="0" xfId="0" applyFont="1" applyBorder="1">
      <alignment horizontal="left" vertical="center"/>
    </xf>
    <xf fontId="0" fillId="0" borderId="12" numFmtId="0" xfId="0" applyFont="1" applyBorder="1">
      <alignment horizontal="center" vertical="center" wrapText="1"/>
    </xf>
    <xf fontId="22" fillId="0" borderId="0" numFmtId="0" xfId="0" applyFont="1">
      <alignment horizontal="center" vertical="center" wrapText="1"/>
    </xf>
    <xf fontId="22" fillId="0" borderId="0" numFmtId="0" xfId="0" applyFont="1">
      <alignment horizontal="center" vertical="center" wrapText="1"/>
    </xf>
    <xf fontId="22" fillId="0" borderId="12" numFmtId="0" xfId="0" applyFont="1" applyBorder="1">
      <alignment horizontal="center" vertical="center" wrapText="1"/>
    </xf>
    <xf fontId="22" fillId="40" borderId="12" numFmtId="49" xfId="0" applyNumberFormat="1" applyFont="1" applyFill="1" applyBorder="1">
      <alignment horizontal="center" vertical="center" wrapText="1"/>
    </xf>
    <xf fontId="22" fillId="0" borderId="19" numFmtId="49" xfId="0" applyNumberFormat="1" applyFont="1" applyBorder="1">
      <alignment horizontal="center" vertical="center" wrapText="1"/>
    </xf>
    <xf fontId="22" fillId="0" borderId="0" numFmtId="49" xfId="0" applyNumberFormat="1" applyFont="1">
      <alignment horizontal="center" vertical="center" wrapText="1"/>
    </xf>
    <xf fontId="0" fillId="0" borderId="19" numFmtId="49" xfId="0" applyNumberFormat="1" applyFont="1" applyBorder="1">
      <alignment horizontal="left" vertical="center" wrapText="1"/>
    </xf>
    <xf fontId="39" fillId="0" borderId="27" numFmtId="0" xfId="0" applyFont="1" applyBorder="1">
      <alignment horizontal="left" vertical="center"/>
    </xf>
    <xf fontId="39" fillId="0" borderId="29" numFmtId="0" xfId="0" applyFont="1" applyBorder="1">
      <alignment horizontal="left" vertical="center"/>
    </xf>
    <xf fontId="39" fillId="0" borderId="0" numFmtId="0" xfId="0" applyFont="1">
      <alignment horizontal="left" vertical="center"/>
    </xf>
    <xf fontId="39" fillId="0" borderId="24" numFmtId="0" xfId="0" applyFont="1" applyBorder="1">
      <alignment horizontal="left" vertical="center"/>
    </xf>
    <xf fontId="22" fillId="35" borderId="12" numFmtId="0" xfId="0" applyFont="1" applyFill="1" applyBorder="1">
      <alignment horizontal="center" vertical="center" wrapText="1"/>
    </xf>
    <xf fontId="46" fillId="0" borderId="0" numFmtId="0" xfId="0" applyFont="1">
      <alignment horizontal="center" vertical="center" wrapText="1"/>
    </xf>
    <xf fontId="22" fillId="34" borderId="15" numFmtId="0" xfId="0" applyFont="1" applyFill="1" applyBorder="1">
      <alignment horizontal="left" vertical="center" wrapText="1"/>
    </xf>
    <xf fontId="22" fillId="0" borderId="0" numFmtId="0" xfId="0" applyFont="1">
      <alignment horizontal="left" vertical="top" wrapText="1"/>
    </xf>
    <xf fontId="47" fillId="0" borderId="0" numFmtId="0" xfId="0" applyFont="1">
      <alignment horizontal="center" vertical="center" wrapText="1"/>
    </xf>
    <xf fontId="0" fillId="39" borderId="12" numFmtId="190" xfId="0" applyNumberFormat="1" applyFont="1" applyFill="1" applyBorder="1">
      <alignment horizontal="center" vertical="center" wrapText="1"/>
      <protection locked="0"/>
    </xf>
    <xf fontId="80" fillId="35" borderId="19" numFmtId="0" xfId="0" applyFont="1" applyFill="1" applyBorder="1">
      <alignment horizontal="center" vertical="center" wrapText="1"/>
    </xf>
    <xf fontId="36" fillId="0" borderId="27" numFmtId="0" xfId="0" applyFont="1" applyBorder="1">
      <alignment horizontal="center" vertical="center" wrapText="1"/>
    </xf>
    <xf fontId="22" fillId="35" borderId="12" numFmtId="0" xfId="0" applyFont="1" applyFill="1" applyBorder="1">
      <alignment horizontal="left" vertical="center" wrapText="1"/>
    </xf>
    <xf fontId="22" fillId="35" borderId="23" numFmtId="0" xfId="0" applyFont="1" applyFill="1" applyBorder="1">
      <alignment horizontal="center" vertical="center" wrapText="1"/>
    </xf>
    <xf fontId="47" fillId="0" borderId="15" numFmtId="0" xfId="0" applyFont="1" applyBorder="1">
      <alignment horizontal="left" vertical="center" wrapText="1"/>
    </xf>
    <xf fontId="22" fillId="39" borderId="17" numFmtId="49" xfId="0" applyNumberFormat="1" applyFont="1" applyFill="1" applyBorder="1">
      <alignment horizontal="left" indent="6" vertical="center" wrapText="1"/>
      <protection locked="0"/>
    </xf>
    <xf fontId="22" fillId="35" borderId="17" numFmtId="0" xfId="0" applyFont="1" applyFill="1" applyBorder="1">
      <alignment horizontal="left" vertical="center" wrapText="1"/>
    </xf>
    <xf fontId="22" fillId="39" borderId="12" numFmtId="4" xfId="0" applyNumberFormat="1" applyFont="1" applyFill="1" applyBorder="1">
      <alignment horizontal="left" indent="1" vertical="center" wrapText="1"/>
      <protection locked="0"/>
    </xf>
    <xf fontId="22" fillId="36" borderId="17" numFmtId="49" xfId="0" applyNumberFormat="1" applyFont="1" applyFill="1" applyBorder="1">
      <alignment horizontal="left" indent="6" vertical="center" wrapText="1"/>
      <protection locked="0"/>
    </xf>
    <xf fontId="22" fillId="0" borderId="0" numFmtId="49" xfId="0" applyNumberFormat="1" applyFont="1">
      <alignment vertical="center" wrapText="1"/>
    </xf>
    <xf fontId="47" fillId="0" borderId="12" numFmtId="49" xfId="0" applyNumberFormat="1" applyFont="1" applyBorder="1">
      <alignment horizontal="center" vertical="center" wrapText="1"/>
    </xf>
    <xf fontId="22" fillId="0" borderId="12" numFmtId="49" xfId="0" applyNumberFormat="1" applyFont="1" applyBorder="1">
      <alignment horizontal="left" vertical="center" wrapText="1"/>
    </xf>
    <xf fontId="22" fillId="35" borderId="29" numFmtId="0" xfId="0" applyFont="1" applyFill="1" applyBorder="1">
      <alignment horizontal="center" vertical="center" wrapText="1"/>
    </xf>
    <xf fontId="46" fillId="0" borderId="0" numFmtId="0" xfId="0" applyFont="1">
      <alignment horizontal="center" vertical="center" wrapText="1"/>
    </xf>
    <xf fontId="22" fillId="0" borderId="0" numFmtId="0" xfId="0" applyFont="1">
      <alignment horizontal="right" vertical="center" wrapText="1"/>
    </xf>
    <xf fontId="22" fillId="0" borderId="0" numFmtId="0" xfId="0" applyFont="1">
      <alignment horizontal="left" vertical="center"/>
    </xf>
    <xf fontId="22" fillId="0" borderId="0" numFmtId="49" xfId="0" applyNumberFormat="1" applyFont="1">
      <alignment horizontal="left" vertical="center"/>
    </xf>
    <xf fontId="22" fillId="0" borderId="0" numFmtId="0" xfId="0" applyFont="1">
      <alignment horizontal="left" vertical="center"/>
    </xf>
    <xf fontId="22" fillId="0" borderId="0" numFmtId="0" xfId="0" applyFont="1">
      <alignment horizontal="left" indent="1" vertical="center"/>
    </xf>
    <xf fontId="22" fillId="0" borderId="0" numFmtId="49" xfId="0" applyNumberFormat="1" applyFont="1">
      <alignment horizontal="left" vertical="center"/>
    </xf>
    <xf fontId="0" fillId="0" borderId="12" numFmtId="0" xfId="0" applyFont="1" applyBorder="1">
      <alignment horizontal="center" vertical="center" wrapText="1"/>
    </xf>
    <xf fontId="0" fillId="39" borderId="12" numFmtId="49" xfId="0" applyNumberFormat="1" applyFont="1" applyFill="1" applyBorder="1">
      <alignment horizontal="left" vertical="center" wrapText="1"/>
      <protection locked="0"/>
    </xf>
    <xf fontId="22" fillId="35" borderId="0" numFmtId="49" xfId="0" applyNumberFormat="1" applyFont="1" applyFill="1">
      <alignment vertical="center" wrapText="1"/>
    </xf>
    <xf fontId="80" fillId="35" borderId="19" numFmtId="0" xfId="0" applyFont="1" applyFill="1" applyBorder="1">
      <alignment horizontal="center" vertical="center" wrapText="1"/>
    </xf>
    <xf fontId="46" fillId="0" borderId="0" numFmtId="0" xfId="0" applyFont="1">
      <alignment horizontal="center" vertical="center" wrapText="1"/>
    </xf>
    <xf fontId="22" fillId="0" borderId="0" numFmtId="49" xfId="0" applyNumberFormat="1" applyFont="1">
      <alignment vertical="center" wrapText="1"/>
    </xf>
    <xf fontId="22" fillId="36" borderId="12" numFmtId="49" xfId="0" applyNumberFormat="1" applyFont="1" applyFill="1" applyBorder="1">
      <alignment horizontal="left" indent="1" vertical="center"/>
      <protection locked="0"/>
    </xf>
    <xf fontId="22" fillId="35" borderId="12" numFmtId="49" xfId="59" applyNumberFormat="1" applyFont="1" applyFill="1" applyBorder="1">
      <alignment horizontal="center" vertical="center" wrapText="1"/>
    </xf>
    <xf fontId="22" fillId="39" borderId="14" numFmtId="14" xfId="0" applyNumberFormat="1" applyFont="1" applyFill="1" applyBorder="1">
      <alignment horizontal="left" indent="1" vertical="center" wrapText="1"/>
      <protection locked="0"/>
    </xf>
    <xf fontId="46" fillId="0" borderId="36" numFmtId="0" xfId="0" applyFont="1" applyBorder="1">
      <alignment horizontal="left" indent="1" vertical="center" wrapText="1"/>
    </xf>
    <xf fontId="105" fillId="37" borderId="42" numFmtId="49" xfId="0" applyNumberFormat="1" applyFont="1" applyFill="1" applyBorder="1">
      <alignment horizontal="left" indent="1" vertical="center"/>
    </xf>
    <xf fontId="22" fillId="40" borderId="22" numFmtId="14" xfId="0" applyNumberFormat="1" applyFont="1" applyFill="1" applyBorder="1">
      <alignment horizontal="left" indent="1" vertical="center" wrapText="1"/>
    </xf>
    <xf fontId="22" fillId="0" borderId="22" numFmtId="0" xfId="0" applyFont="1" applyBorder="1">
      <alignment vertical="center" wrapText="1"/>
    </xf>
    <xf fontId="0" fillId="0" borderId="13" numFmtId="0" xfId="0" applyFont="1" applyBorder="1">
      <alignment horizontal="center" vertical="center" wrapText="1"/>
    </xf>
    <xf fontId="22" fillId="40" borderId="12" numFmtId="49" xfId="0" applyNumberFormat="1" applyFont="1" applyFill="1" applyBorder="1">
      <alignment horizontal="center" vertical="center" wrapText="1"/>
    </xf>
    <xf fontId="22" fillId="0" borderId="12" numFmtId="0" xfId="0" applyFont="1" applyBorder="1">
      <alignment horizontal="center" vertical="center" wrapText="1"/>
    </xf>
    <xf fontId="0" fillId="39" borderId="12" numFmtId="190" xfId="0" applyNumberFormat="1" applyFont="1" applyFill="1" applyBorder="1">
      <alignment horizontal="center" vertical="center" wrapText="1"/>
      <protection locked="0"/>
    </xf>
    <xf fontId="22" fillId="35" borderId="17" numFmtId="0" xfId="0" applyFont="1" applyFill="1" applyBorder="1">
      <alignment horizontal="left" vertical="center" wrapText="1"/>
    </xf>
    <xf fontId="22" fillId="39" borderId="17" numFmtId="49" xfId="0" applyNumberFormat="1" applyFont="1" applyFill="1" applyBorder="1">
      <alignment horizontal="left" indent="6" vertical="center" wrapText="1"/>
      <protection locked="0"/>
    </xf>
    <xf fontId="47" fillId="0" borderId="24" numFmtId="0" xfId="0" applyFont="1" applyBorder="1">
      <alignment horizontal="center" vertical="top" wrapText="1"/>
    </xf>
    <xf fontId="22" fillId="36" borderId="17" numFmtId="49" xfId="0" applyNumberFormat="1" applyFont="1" applyFill="1" applyBorder="1">
      <alignment horizontal="left" indent="6" vertical="center" wrapText="1"/>
      <protection locked="0"/>
    </xf>
    <xf fontId="22" fillId="39" borderId="12" numFmtId="4" xfId="0" applyNumberFormat="1" applyFont="1" applyFill="1" applyBorder="1">
      <alignment horizontal="left" indent="1" vertical="center" wrapText="1"/>
      <protection locked="0"/>
    </xf>
    <xf fontId="22" fillId="0" borderId="19" numFmtId="49" xfId="0" applyNumberFormat="1" applyFont="1" applyBorder="1">
      <alignment horizontal="center" vertical="center" wrapText="1"/>
    </xf>
    <xf fontId="22" fillId="0" borderId="0" numFmtId="49" xfId="0" applyNumberFormat="1" applyFont="1">
      <alignment horizontal="center" vertical="center" wrapText="1"/>
    </xf>
    <xf fontId="0" fillId="0" borderId="19" numFmtId="49" xfId="0" applyNumberFormat="1" applyFont="1" applyBorder="1">
      <alignment horizontal="left" vertical="center" wrapText="1"/>
    </xf>
    <xf fontId="39" fillId="0" borderId="27" numFmtId="0" xfId="0" applyFont="1" applyBorder="1">
      <alignment horizontal="left" vertical="center"/>
    </xf>
    <xf fontId="39" fillId="0" borderId="29" numFmtId="0" xfId="0" applyFont="1" applyBorder="1">
      <alignment horizontal="left" vertical="center"/>
    </xf>
    <xf fontId="39" fillId="0" borderId="0" numFmtId="0" xfId="0" applyFont="1">
      <alignment horizontal="left" vertical="center"/>
    </xf>
    <xf fontId="39" fillId="0" borderId="24" numFmtId="0" xfId="0" applyFont="1" applyBorder="1">
      <alignment horizontal="left" vertical="center"/>
    </xf>
    <xf fontId="31" fillId="47" borderId="0" numFmtId="49" xfId="0" applyNumberFormat="1" applyFont="1" applyFill="1">
      <alignment horizontal="center" vertical="center" wrapText="1"/>
    </xf>
    <xf fontId="47" fillId="0" borderId="0" numFmtId="0" xfId="0" applyFont="1">
      <alignment horizontal="center" vertical="center" wrapText="1"/>
    </xf>
    <xf fontId="22" fillId="35" borderId="12" numFmtId="0" xfId="0" applyFont="1" applyFill="1" applyBorder="1">
      <alignment horizontal="left" vertical="center" wrapText="1"/>
    </xf>
    <xf fontId="22" fillId="35" borderId="17" numFmtId="0" xfId="0" applyFont="1" applyFill="1" applyBorder="1">
      <alignment horizontal="left" vertical="center" wrapText="1"/>
    </xf>
    <xf fontId="22" fillId="35" borderId="23" numFmtId="0" xfId="0" applyFont="1" applyFill="1" applyBorder="1">
      <alignment horizontal="left" vertical="center" wrapText="1"/>
    </xf>
    <xf fontId="44" fillId="0" borderId="13" numFmtId="0" xfId="0" applyFont="1" applyBorder="1">
      <alignment vertical="top" wrapText="1"/>
    </xf>
    <xf fontId="47" fillId="0" borderId="13" numFmtId="0" xfId="0" applyFont="1" applyBorder="1">
      <alignment vertical="top" wrapText="1"/>
    </xf>
    <xf fontId="22" fillId="35" borderId="17" numFmtId="0" xfId="0" applyFont="1" applyFill="1" applyBorder="1">
      <alignment horizontal="left" indent="2" vertical="center" wrapText="1"/>
    </xf>
    <xf fontId="22" fillId="0" borderId="17" numFmtId="0" xfId="0" applyFont="1" applyBorder="1">
      <alignment horizontal="left" indent="6" vertical="center" wrapText="1"/>
    </xf>
    <xf fontId="22" fillId="40" borderId="23" numFmtId="0" xfId="0" applyFont="1" applyFill="1" applyBorder="1">
      <alignment horizontal="left" indent="6" vertical="center" wrapText="1"/>
    </xf>
    <xf fontId="22" fillId="0" borderId="23" numFmtId="0" xfId="0" applyFont="1" applyBorder="1">
      <alignment horizontal="left" indent="6" vertical="center" wrapText="1"/>
    </xf>
    <xf fontId="22" fillId="36" borderId="23" numFmtId="4" xfId="0" applyNumberFormat="1" applyFont="1" applyFill="1" applyBorder="1">
      <alignment horizontal="right" vertical="center" wrapText="1"/>
      <protection locked="0"/>
    </xf>
    <xf fontId="22" fillId="36" borderId="23" numFmtId="188" xfId="0" applyNumberFormat="1" applyFont="1" applyFill="1" applyBorder="1">
      <alignment horizontal="right" vertical="center" wrapText="1"/>
      <protection locked="0"/>
    </xf>
    <xf fontId="22" fillId="0" borderId="15" numFmtId="0" xfId="0" applyFont="1" applyBorder="1">
      <alignment horizontal="center" vertical="center" wrapText="1"/>
    </xf>
    <xf fontId="22" fillId="0" borderId="13" numFmtId="0" xfId="0" applyFont="1" applyBorder="1">
      <alignment horizontal="center" vertical="center" wrapText="1"/>
    </xf>
    <xf fontId="22" fillId="0" borderId="12" numFmtId="0" xfId="0" applyFont="1" applyBorder="1">
      <alignment horizontal="center" vertical="center" wrapText="1"/>
    </xf>
    <xf fontId="22" fillId="0" borderId="0" numFmtId="49" xfId="0" applyNumberFormat="1" applyFont="1">
      <alignment horizontal="center" vertical="center" wrapText="1"/>
    </xf>
    <xf fontId="22" fillId="0" borderId="12" numFmtId="0" xfId="0" applyFont="1" applyBorder="1">
      <alignment horizontal="left" vertical="center" wrapText="1"/>
    </xf>
    <xf fontId="22" fillId="0" borderId="37" numFmtId="0" xfId="0" applyFont="1" applyBorder="1">
      <alignment horizontal="center" vertical="center" wrapText="1"/>
    </xf>
    <xf fontId="0" fillId="35" borderId="12" numFmtId="49" xfId="0" applyNumberFormat="1" applyFont="1" applyFill="1" applyBorder="1">
      <alignment horizontal="center" vertical="center" wrapText="1"/>
    </xf>
    <xf fontId="22" fillId="35" borderId="12" numFmtId="0" xfId="0" applyFont="1" applyFill="1" applyBorder="1">
      <alignment horizontal="center" vertical="center" wrapText="1"/>
    </xf>
    <xf fontId="0" fillId="0" borderId="12" numFmtId="0" xfId="0" applyFont="1" applyBorder="1">
      <alignment horizontal="center" vertical="center" wrapText="1"/>
    </xf>
    <xf fontId="22" fillId="0" borderId="15" numFmtId="0" xfId="0" applyFont="1" applyBorder="1">
      <alignment horizontal="right" indent="1" vertical="center" wrapText="1"/>
    </xf>
    <xf fontId="22" fillId="0" borderId="0" numFmtId="0" xfId="0" applyFont="1">
      <alignment horizontal="left" vertical="top" wrapText="1"/>
    </xf>
    <xf fontId="22" fillId="34" borderId="14" numFmtId="0" xfId="0" applyFont="1" applyFill="1" applyBorder="1">
      <alignment horizontal="left" vertical="top" wrapText="1"/>
    </xf>
    <xf fontId="22" fillId="0" borderId="0" numFmtId="49" xfId="0" applyNumberFormat="1" applyFont="1">
      <alignment vertical="center" wrapText="1"/>
    </xf>
    <xf fontId="0" fillId="0" borderId="12" numFmtId="0" xfId="0" applyFont="1" applyBorder="1">
      <alignment horizontal="left" vertical="center" wrapText="1"/>
    </xf>
    <xf fontId="22" fillId="0" borderId="12" numFmtId="49" xfId="0" applyNumberFormat="1" applyFont="1" applyBorder="1">
      <alignment horizontal="center" vertical="center" wrapText="1"/>
    </xf>
    <xf fontId="22" fillId="0" borderId="12" numFmtId="0" xfId="0" applyFont="1" applyBorder="1">
      <alignment horizontal="left" vertical="center" wrapText="1"/>
    </xf>
    <xf fontId="22" fillId="0" borderId="17" numFmtId="0" xfId="0" applyFont="1" applyBorder="1">
      <alignment horizontal="left" vertical="center" wrapText="1"/>
    </xf>
    <xf fontId="94" fillId="0" borderId="43" numFmtId="49" xfId="0" applyNumberFormat="1" applyFont="1" applyBorder="1">
      <alignment horizontal="center" vertical="center"/>
    </xf>
    <xf fontId="94" fillId="0" borderId="43" numFmtId="49" xfId="0" applyNumberFormat="1" applyFont="1" applyBorder="1">
      <alignment horizontal="left" indent="1" vertical="center"/>
    </xf>
    <xf fontId="94" fillId="0" borderId="14" numFmtId="49" xfId="0" applyNumberFormat="1" applyFont="1" applyBorder="1">
      <alignment horizontal="left" indent="1" vertical="center"/>
    </xf>
    <xf fontId="94" fillId="0" borderId="15" numFmtId="49" xfId="0" applyNumberFormat="1" applyFont="1" applyBorder="1">
      <alignment horizontal="left" indent="1" vertical="center"/>
    </xf>
    <xf fontId="94" fillId="0" borderId="15" numFmtId="49" xfId="0" applyNumberFormat="1" applyFont="1" applyBorder="1">
      <alignment vertical="top" wrapText="1"/>
    </xf>
    <xf fontId="94" fillId="0" borderId="13" numFmtId="49" xfId="0" applyNumberFormat="1" applyFont="1" applyBorder="1">
      <alignment vertical="top" wrapText="1"/>
    </xf>
    <xf fontId="125" fillId="0" borderId="0" numFmtId="49" xfId="0" applyNumberFormat="1" applyFont="1">
      <alignment horizontal="center" vertical="top" wrapText="1"/>
    </xf>
    <xf fontId="94" fillId="0" borderId="12" numFmtId="0" xfId="0" applyFont="1" applyBorder="1">
      <alignment horizontal="center" vertical="center"/>
    </xf>
    <xf fontId="94" fillId="0" borderId="12" numFmtId="0" xfId="0" applyFont="1" applyBorder="1">
      <alignment horizontal="left" indent="1" vertical="center" wrapText="1"/>
    </xf>
    <xf fontId="46" fillId="0" borderId="31" numFmtId="4" xfId="0" applyNumberFormat="1" applyFont="1" applyBorder="1">
      <alignment horizontal="right" vertical="center" wrapText="1"/>
    </xf>
    <xf fontId="46" fillId="0" borderId="15" numFmtId="49" xfId="0" applyNumberFormat="1" applyFont="1" applyBorder="1">
      <alignment horizontal="left" indent="1" vertical="center"/>
    </xf>
    <xf fontId="94" fillId="0" borderId="52" numFmtId="49" xfId="0" applyNumberFormat="1" applyFont="1" applyBorder="1">
      <alignment vertical="top" wrapText="1"/>
    </xf>
    <xf fontId="94" fillId="0" borderId="52" numFmtId="49" xfId="0" applyNumberFormat="1" applyFont="1" applyBorder="1">
      <alignment horizontal="left" indent="1" vertical="center"/>
    </xf>
    <xf fontId="0" fillId="40" borderId="36" numFmtId="49" xfId="0" applyNumberFormat="1" applyFont="1" applyFill="1" applyBorder="1">
      <alignment horizontal="left" vertical="center" wrapText="1"/>
    </xf>
    <xf fontId="22" fillId="0" borderId="12" numFmtId="49" xfId="0" applyNumberFormat="1" applyFont="1" applyBorder="1">
      <alignment horizontal="center" vertical="center" wrapText="1"/>
    </xf>
    <xf fontId="126" fillId="0" borderId="12" numFmtId="49" xfId="0" applyNumberFormat="1" applyFont="1" applyBorder="1">
      <alignment horizontal="center" vertical="center" wrapText="1"/>
    </xf>
    <xf fontId="126" fillId="0" borderId="17" numFmtId="49" xfId="0" applyNumberFormat="1" applyFont="1" applyBorder="1">
      <alignment horizontal="center" vertical="center" wrapText="1"/>
    </xf>
    <xf fontId="22" fillId="54" borderId="12" numFmtId="0" xfId="60" applyFont="1" applyFill="1" applyBorder="1">
      <alignment vertical="center"/>
    </xf>
    <xf fontId="46" fillId="55" borderId="12" numFmtId="0" xfId="0" applyFont="1" applyFill="1" applyBorder="1">
      <alignment horizontal="left" vertical="center" wrapText="1"/>
    </xf>
    <xf fontId="91" fillId="0" borderId="0" numFmtId="0" xfId="0" applyFont="1">
      <alignment horizontal="center" vertical="center" wrapText="1"/>
    </xf>
    <xf fontId="22" fillId="0" borderId="0" numFmtId="49" xfId="0" applyNumberFormat="1" applyFont="1">
      <alignment vertical="center" wrapText="1"/>
    </xf>
    <xf fontId="0" fillId="7" borderId="12" numFmtId="49" xfId="0" applyNumberFormat="1" applyFont="1" applyFill="1" applyBorder="1">
      <alignment horizontal="center" vertical="center" wrapText="1"/>
    </xf>
    <xf fontId="22" fillId="0" borderId="0" numFmtId="49" xfId="0" applyNumberFormat="1" applyFont="1">
      <alignment vertical="center" wrapText="1"/>
    </xf>
    <xf fontId="0" fillId="7" borderId="12" numFmtId="49" xfId="0" applyNumberFormat="1" applyFont="1" applyFill="1" applyBorder="1">
      <alignment horizontal="center" vertical="center" wrapText="1"/>
    </xf>
    <xf fontId="35" fillId="0" borderId="0" numFmtId="49" xfId="0" applyNumberFormat="1" applyFont="1">
      <alignment horizontal="center" vertical="center" wrapText="1"/>
    </xf>
    <xf fontId="22" fillId="0" borderId="14" numFmtId="0" xfId="0" applyFont="1" applyBorder="1">
      <alignment horizontal="center" vertical="center" wrapText="1"/>
    </xf>
    <xf fontId="22" fillId="0" borderId="12" numFmtId="0" xfId="0" applyFont="1" applyBorder="1">
      <alignment horizontal="center" vertical="center" wrapText="1"/>
    </xf>
    <xf fontId="22" fillId="0" borderId="17" numFmtId="0" xfId="0" applyFont="1" applyBorder="1">
      <alignment horizontal="center" vertical="center" wrapText="1"/>
    </xf>
    <xf fontId="22" fillId="0" borderId="17" numFmtId="0" xfId="0" applyFont="1" applyBorder="1">
      <alignment horizontal="left" vertical="center" wrapText="1"/>
    </xf>
    <xf fontId="0" fillId="0" borderId="14" numFmtId="0" xfId="0" applyFont="1" applyBorder="1">
      <alignment horizontal="center" vertical="center" wrapText="1"/>
    </xf>
    <xf fontId="0" fillId="0" borderId="12" numFmtId="0" xfId="0" applyFont="1" applyBorder="1">
      <alignment horizontal="center" vertical="center" wrapText="1"/>
    </xf>
    <xf fontId="22" fillId="40" borderId="12" numFmtId="49" xfId="0" applyNumberFormat="1" applyFont="1" applyFill="1" applyBorder="1">
      <alignment horizontal="left" indent="1" vertical="center" wrapText="1"/>
    </xf>
    <xf fontId="22" fillId="0" borderId="19" numFmtId="0" xfId="0" applyFont="1" applyBorder="1">
      <alignment horizontal="right" indent="1" vertical="center" wrapText="1"/>
    </xf>
    <xf fontId="22" fillId="39" borderId="37" numFmtId="4" xfId="0" applyNumberFormat="1" applyFont="1" applyFill="1" applyBorder="1">
      <alignment horizontal="right" vertical="center" wrapText="1"/>
      <protection locked="0"/>
    </xf>
    <xf fontId="22" fillId="39" borderId="14" numFmtId="3" xfId="0" applyNumberFormat="1" applyFont="1" applyFill="1" applyBorder="1">
      <alignment horizontal="right" vertical="center" wrapText="1"/>
      <protection locked="0"/>
    </xf>
    <xf fontId="46" fillId="37" borderId="15" numFmtId="0" xfId="0" applyFont="1" applyFill="1" applyBorder="1">
      <alignment vertical="center" wrapText="1"/>
    </xf>
    <xf fontId="22" fillId="0" borderId="12" numFmtId="0" xfId="0" applyFont="1" applyBorder="1">
      <alignment horizontal="center" vertical="center" wrapText="1"/>
    </xf>
    <xf fontId="22" fillId="0" borderId="17" numFmtId="0" xfId="0" applyFont="1" applyBorder="1">
      <alignment horizontal="center" vertical="center" wrapText="1"/>
    </xf>
    <xf fontId="22" fillId="0" borderId="14" numFmtId="0" xfId="0" applyFont="1" applyBorder="1">
      <alignment horizontal="left" vertical="center" wrapText="1"/>
    </xf>
    <xf fontId="22" fillId="0" borderId="23" numFmtId="0" xfId="0" applyFont="1" applyBorder="1">
      <alignment horizontal="center" vertical="center" wrapText="1"/>
    </xf>
    <xf fontId="22" fillId="0" borderId="14" numFmtId="0" xfId="0" applyFont="1" applyBorder="1">
      <alignment horizontal="left" indent="1" vertical="center" wrapText="1"/>
    </xf>
    <xf fontId="22" fillId="0" borderId="14" numFmtId="0" xfId="0" applyFont="1" applyBorder="1">
      <alignment horizontal="left" indent="2" vertical="center" wrapText="1"/>
    </xf>
    <xf fontId="102" fillId="0" borderId="0" numFmtId="0" xfId="0" applyFont="1">
      <alignment vertical="center" wrapText="1"/>
    </xf>
    <xf fontId="102" fillId="0" borderId="0" numFmtId="0" xfId="0" applyFont="1">
      <alignment vertical="center"/>
    </xf>
    <xf fontId="45" fillId="56" borderId="63" numFmtId="0" xfId="0" applyFont="1" applyFill="1" applyBorder="1">
      <alignment horizontal="center" vertical="center" wrapText="1"/>
    </xf>
    <xf fontId="45" fillId="56" borderId="64" numFmtId="0" xfId="0" applyFont="1" applyFill="1" applyBorder="1">
      <alignment horizontal="center" vertical="center" wrapText="1"/>
    </xf>
    <xf fontId="45" fillId="56" borderId="65" numFmtId="0" xfId="0" applyFont="1" applyFill="1" applyBorder="1">
      <alignment horizontal="center" vertical="center" wrapText="1"/>
    </xf>
    <xf fontId="45" fillId="46" borderId="38" numFmtId="0" xfId="0" applyFont="1" applyFill="1" applyBorder="1">
      <alignment horizontal="right" indent="1" vertical="center" wrapText="1"/>
    </xf>
    <xf fontId="45" fillId="46" borderId="66" numFmtId="0" xfId="0" applyFont="1" applyFill="1" applyBorder="1">
      <alignment horizontal="right" indent="1" vertical="center" wrapText="1"/>
    </xf>
    <xf fontId="45" fillId="46" borderId="0" numFmtId="0" xfId="0" applyFont="1" applyFill="1">
      <alignment horizontal="right" indent="1" vertical="center" wrapText="1"/>
    </xf>
    <xf fontId="120" fillId="0" borderId="38" numFmtId="0" xfId="0" applyFont="1" applyBorder="1">
      <alignment vertical="center" wrapText="1"/>
    </xf>
    <xf fontId="120" fillId="0" borderId="0" numFmtId="0" xfId="0" applyFont="1">
      <alignment vertical="center" wrapText="1"/>
    </xf>
    <xf fontId="120" fillId="0" borderId="38" numFmtId="0" xfId="0" applyFont="1" applyBorder="1">
      <alignment horizontal="left" vertical="center" wrapText="1"/>
    </xf>
    <xf fontId="120" fillId="0" borderId="0" numFmtId="0" xfId="0" applyFont="1">
      <alignment horizontal="left" vertical="center" wrapText="1"/>
    </xf>
    <xf fontId="45" fillId="46" borderId="60" numFmtId="0" xfId="0" applyFont="1" applyFill="1" applyBorder="1">
      <alignment horizontal="right" indent="1" vertical="center" wrapText="1"/>
    </xf>
    <xf fontId="45" fillId="46" borderId="67" numFmtId="0" xfId="0" applyFont="1" applyFill="1" applyBorder="1">
      <alignment horizontal="right" indent="1" vertical="center" wrapText="1"/>
    </xf>
    <xf fontId="45" fillId="46" borderId="62" numFmtId="0" xfId="0" applyFont="1" applyFill="1" applyBorder="1">
      <alignment horizontal="right" indent="1" vertical="center" wrapText="1"/>
    </xf>
    <xf fontId="45" fillId="46" borderId="39" numFmtId="0" xfId="0" applyFont="1" applyFill="1" applyBorder="1">
      <alignment horizontal="right" indent="1" vertical="center" wrapText="1"/>
    </xf>
    <xf fontId="120" fillId="0" borderId="0" numFmtId="0" xfId="0" applyFont="1">
      <alignment vertical="top" wrapText="1"/>
    </xf>
    <xf fontId="66" fillId="0" borderId="0" numFmtId="49" xfId="0" applyNumberFormat="1" applyFont="1">
      <alignment vertical="top" wrapText="1"/>
    </xf>
    <xf fontId="22" fillId="0" borderId="13" numFmtId="0" xfId="0" applyFont="1" applyBorder="1">
      <alignment horizontal="center" vertical="center" wrapText="1"/>
    </xf>
    <xf fontId="22" fillId="0" borderId="14" numFmtId="0" xfId="0" applyFont="1" applyBorder="1">
      <alignment horizontal="center" vertical="center" wrapText="1"/>
    </xf>
    <xf fontId="96" fillId="0" borderId="0" numFmtId="0" xfId="0" applyFont="1">
      <alignment horizontal="left" vertical="center" wrapText="1"/>
    </xf>
    <xf fontId="93" fillId="0" borderId="12" numFmtId="14" xfId="0" applyNumberFormat="1" applyFont="1" applyBorder="1">
      <alignment horizontal="center" vertical="center" wrapText="1"/>
    </xf>
    <xf fontId="22" fillId="0" borderId="0" numFmtId="0" xfId="0" applyFont="1">
      <alignment horizontal="center" vertical="center" wrapText="1"/>
    </xf>
    <xf fontId="22" fillId="0" borderId="15" numFmtId="0" xfId="0" applyFont="1" applyBorder="1">
      <alignment horizontal="left" indent="1" vertical="center" wrapText="1"/>
    </xf>
    <xf fontId="22" fillId="0" borderId="14" numFmtId="0" xfId="0" applyFont="1" applyBorder="1">
      <alignment horizontal="center" vertical="center" wrapText="1"/>
    </xf>
    <xf fontId="22" fillId="0" borderId="15" numFmtId="0" xfId="0" applyFont="1" applyBorder="1">
      <alignment horizontal="center" vertical="center" wrapText="1"/>
    </xf>
    <xf fontId="22" fillId="0" borderId="13" numFmtId="0" xfId="0" applyFont="1" applyBorder="1">
      <alignment horizontal="center" vertical="center" wrapText="1"/>
    </xf>
    <xf fontId="22" fillId="0" borderId="12" numFmtId="4" xfId="0" applyNumberFormat="1" applyFont="1" applyBorder="1">
      <alignment horizontal="center" vertical="center" wrapText="1"/>
    </xf>
    <xf fontId="22" fillId="40" borderId="17" numFmtId="0" xfId="0" applyFont="1" applyFill="1" applyBorder="1">
      <alignment horizontal="left" indent="1" vertical="center" wrapText="1"/>
    </xf>
    <xf fontId="22" fillId="40" borderId="23" numFmtId="0" xfId="0" applyFont="1" applyFill="1" applyBorder="1">
      <alignment horizontal="left" indent="1" vertical="center" wrapText="1"/>
    </xf>
    <xf fontId="22" fillId="40" borderId="12" numFmtId="49" xfId="0" applyNumberFormat="1" applyFont="1" applyFill="1" applyBorder="1">
      <alignment horizontal="center" vertical="center" wrapText="1"/>
    </xf>
    <xf fontId="22" fillId="0" borderId="12" numFmtId="49" xfId="0" applyNumberFormat="1" applyFont="1" applyBorder="1">
      <alignment horizontal="center" vertical="center" wrapText="1"/>
    </xf>
    <xf fontId="22" fillId="40" borderId="17" numFmtId="0" xfId="0" applyFont="1" applyFill="1" applyBorder="1">
      <alignment horizontal="left" indent="2" vertical="center" wrapText="1"/>
    </xf>
    <xf fontId="22" fillId="40" borderId="36" numFmtId="0" xfId="0" applyFont="1" applyFill="1" applyBorder="1">
      <alignment horizontal="left" indent="2" vertical="center" wrapText="1"/>
    </xf>
    <xf fontId="22" fillId="40" borderId="23" numFmtId="0" xfId="0" applyFont="1" applyFill="1" applyBorder="1">
      <alignment horizontal="left" indent="2" vertical="center" wrapText="1"/>
    </xf>
    <xf fontId="22" fillId="40" borderId="23" numFmtId="49" xfId="0" applyNumberFormat="1" applyFont="1" applyFill="1" applyBorder="1">
      <alignment horizontal="center" vertical="center" wrapText="1"/>
    </xf>
    <xf fontId="81" fillId="0" borderId="68" numFmtId="14" xfId="0" applyNumberFormat="1" applyFont="1" applyBorder="1">
      <alignment horizontal="center" vertical="center" wrapText="1"/>
    </xf>
    <xf fontId="22" fillId="0" borderId="68" numFmtId="0" xfId="0" applyFont="1" applyBorder="1">
      <alignment horizontal="center" vertical="center" wrapText="1"/>
    </xf>
    <xf fontId="35" fillId="0" borderId="69" numFmtId="49" xfId="0" applyNumberFormat="1" applyFont="1" applyBorder="1">
      <alignment horizontal="center" vertical="center" wrapText="1"/>
    </xf>
    <xf fontId="35" fillId="0" borderId="70" numFmtId="49" xfId="0" applyNumberFormat="1" applyFont="1" applyBorder="1">
      <alignment horizontal="center" vertical="center" wrapText="1"/>
    </xf>
    <xf fontId="35" fillId="0" borderId="14" numFmtId="49" xfId="0" applyNumberFormat="1" applyFont="1" applyBorder="1">
      <alignment horizontal="center" vertical="center" wrapText="1"/>
    </xf>
    <xf fontId="35" fillId="0" borderId="13" numFmtId="49" xfId="0" applyNumberFormat="1" applyFont="1" applyBorder="1">
      <alignment horizontal="center" vertical="center" wrapText="1"/>
    </xf>
    <xf fontId="22" fillId="0" borderId="20" numFmtId="0" xfId="0" applyFont="1" applyBorder="1">
      <alignment horizontal="left" indent="1" vertical="center" wrapText="1"/>
    </xf>
    <xf fontId="22" fillId="0" borderId="17" numFmtId="0" xfId="0" applyFont="1" applyBorder="1">
      <alignment horizontal="left" indent="1" vertical="center" wrapText="1"/>
    </xf>
    <xf fontId="22" fillId="0" borderId="37" numFmtId="0" xfId="0" applyFont="1" applyBorder="1">
      <alignment horizontal="left" indent="1" vertical="center" wrapText="1"/>
    </xf>
    <xf fontId="22" fillId="0" borderId="29" numFmtId="0" xfId="0" applyFont="1" applyBorder="1">
      <alignment horizontal="left" indent="1" vertical="center"/>
    </xf>
    <xf fontId="22" fillId="0" borderId="23" numFmtId="0" xfId="0" applyFont="1" applyBorder="1">
      <alignment horizontal="left" indent="1" vertical="center"/>
    </xf>
    <xf fontId="22" fillId="0" borderId="30" numFmtId="0" xfId="0" applyFont="1" applyBorder="1">
      <alignment horizontal="left" indent="1" vertical="center"/>
    </xf>
    <xf fontId="22" fillId="0" borderId="0" numFmtId="0" xfId="0" applyFont="1">
      <alignment horizontal="center" vertical="center" wrapText="1"/>
    </xf>
    <xf fontId="22" fillId="42" borderId="0" numFmtId="0" xfId="0" applyFont="1" applyFill="1">
      <alignment horizontal="center" vertical="center" wrapText="1"/>
    </xf>
    <xf fontId="22" fillId="0" borderId="12" numFmtId="0" xfId="0" applyFont="1" applyBorder="1">
      <alignment horizontal="center" vertical="center" wrapText="1"/>
    </xf>
    <xf fontId="75" fillId="0" borderId="37" numFmtId="0" xfId="0" applyFont="1" applyBorder="1">
      <alignment horizontal="center" vertical="center" wrapText="1"/>
    </xf>
    <xf fontId="75" fillId="0" borderId="19" numFmtId="0" xfId="0" applyFont="1" applyBorder="1">
      <alignment horizontal="center" vertical="center" wrapText="1"/>
    </xf>
    <xf fontId="0" fillId="0" borderId="0" numFmtId="0" xfId="0" applyFont="1">
      <alignment horizontal="left" indent="2" vertical="center" wrapText="1"/>
    </xf>
    <xf fontId="0" fillId="0" borderId="0" numFmtId="0" xfId="0" applyFont="1">
      <alignment horizontal="left" indent="2" vertical="center"/>
    </xf>
    <xf fontId="75" fillId="0" borderId="12" numFmtId="0" xfId="0" applyFont="1" applyBorder="1">
      <alignment horizontal="center" vertical="center" wrapText="1"/>
    </xf>
    <xf fontId="22" fillId="0" borderId="71" numFmtId="0" xfId="0" applyFont="1" applyBorder="1">
      <alignment horizontal="center" vertical="center" wrapText="1"/>
    </xf>
    <xf fontId="22" fillId="0" borderId="72" numFmtId="0" xfId="0" applyFont="1" applyBorder="1">
      <alignment horizontal="center" vertical="center" wrapText="1"/>
    </xf>
    <xf fontId="0" fillId="0" borderId="12" numFmtId="0" xfId="0" applyFont="1" applyBorder="1">
      <alignment horizontal="center" vertical="top"/>
    </xf>
    <xf fontId="0" fillId="0" borderId="12" numFmtId="49" xfId="0" applyNumberFormat="1" applyFont="1" applyBorder="1">
      <alignment vertical="top"/>
    </xf>
    <xf fontId="22" fillId="0" borderId="19" numFmtId="49" xfId="0" applyNumberFormat="1" applyFont="1" applyBorder="1">
      <alignment horizontal="center" vertical="center" wrapText="1"/>
    </xf>
    <xf fontId="22" fillId="0" borderId="0" numFmtId="49" xfId="0" applyNumberFormat="1" applyFont="1">
      <alignment horizontal="center" vertical="center" wrapText="1"/>
    </xf>
    <xf fontId="0" fillId="0" borderId="19" numFmtId="0" xfId="0" applyFont="1" applyBorder="1">
      <alignment horizontal="left" vertical="center" wrapText="1"/>
    </xf>
    <xf fontId="0" fillId="0" borderId="0" numFmtId="0" xfId="0" applyFont="1">
      <alignment horizontal="left" vertical="center" wrapText="1"/>
    </xf>
    <xf fontId="0" fillId="0" borderId="0" numFmtId="49" xfId="0" applyNumberFormat="1" applyFont="1">
      <alignment horizontal="left" vertical="center" wrapText="1"/>
    </xf>
    <xf fontId="0" fillId="0" borderId="19" numFmtId="49" xfId="0" applyNumberFormat="1" applyFont="1" applyBorder="1">
      <alignment horizontal="left" vertical="center" wrapText="1"/>
    </xf>
    <xf fontId="22" fillId="0" borderId="12" numFmtId="0" xfId="0" applyFont="1" applyBorder="1">
      <alignment horizontal="left" vertical="top" wrapText="1"/>
    </xf>
    <xf fontId="0" fillId="0" borderId="12" numFmtId="49" xfId="0" applyNumberFormat="1" applyFont="1" applyBorder="1">
      <alignment horizontal="left" vertical="top"/>
    </xf>
    <xf fontId="22" fillId="40" borderId="17" numFmtId="0" xfId="0" applyFont="1" applyFill="1" applyBorder="1">
      <alignment horizontal="center" vertical="top" wrapText="1"/>
    </xf>
    <xf fontId="22" fillId="40" borderId="36" numFmtId="0" xfId="0" applyFont="1" applyFill="1" applyBorder="1">
      <alignment horizontal="center" vertical="top" wrapText="1"/>
    </xf>
    <xf fontId="22" fillId="40" borderId="23" numFmtId="0" xfId="0" applyFont="1" applyFill="1" applyBorder="1">
      <alignment horizontal="center" vertical="top" wrapText="1"/>
    </xf>
    <xf fontId="0" fillId="0" borderId="37" numFmtId="0" xfId="0" applyFont="1" applyBorder="1">
      <alignment horizontal="center" vertical="center"/>
    </xf>
    <xf fontId="0" fillId="0" borderId="22" numFmtId="0" xfId="0" applyFont="1" applyBorder="1">
      <alignment horizontal="center" vertical="center"/>
    </xf>
    <xf fontId="0" fillId="0" borderId="19" numFmtId="0" xfId="0" applyFont="1" applyBorder="1">
      <alignment horizontal="center" vertical="center"/>
    </xf>
    <xf fontId="0" fillId="0" borderId="0" numFmtId="0" xfId="0" applyFont="1">
      <alignment horizontal="center" vertical="center"/>
    </xf>
    <xf fontId="22" fillId="0" borderId="19" numFmtId="49" xfId="0" applyNumberFormat="1" applyFont="1" applyBorder="1">
      <alignment horizontal="left" vertical="center" wrapText="1"/>
    </xf>
    <xf fontId="22" fillId="0" borderId="0" numFmtId="49" xfId="0" applyNumberFormat="1" applyFont="1">
      <alignment horizontal="left" vertical="center" wrapText="1"/>
    </xf>
    <xf fontId="0" fillId="0" borderId="0" numFmtId="49" xfId="0" applyNumberFormat="1" applyFont="1">
      <alignment horizontal="left" vertical="top"/>
    </xf>
    <xf fontId="0" fillId="0" borderId="12" numFmtId="0" xfId="0" applyFont="1" applyBorder="1">
      <alignment horizontal="center" vertical="center" wrapText="1"/>
    </xf>
    <xf fontId="47" fillId="35" borderId="27" numFmtId="49" xfId="0" applyNumberFormat="1" applyFont="1" applyFill="1" applyBorder="1">
      <alignment horizontal="center" vertical="center" wrapText="1"/>
    </xf>
    <xf fontId="22" fillId="0" borderId="20" numFmtId="0" xfId="0" applyFont="1" applyBorder="1">
      <alignment horizontal="left" indent="1" vertical="top" wrapText="1"/>
    </xf>
    <xf fontId="22" fillId="0" borderId="17" numFmtId="0" xfId="0" applyFont="1" applyBorder="1">
      <alignment horizontal="left" indent="1" vertical="top" wrapText="1"/>
    </xf>
    <xf fontId="22" fillId="0" borderId="37" numFmtId="0" xfId="0" applyFont="1" applyBorder="1">
      <alignment horizontal="left" indent="1" vertical="top" wrapText="1"/>
    </xf>
    <xf fontId="72" fillId="0" borderId="24" numFmtId="0" xfId="0" applyFont="1" applyBorder="1">
      <alignment horizontal="left" indent="1" vertical="center" wrapText="1"/>
    </xf>
    <xf fontId="72" fillId="0" borderId="36" numFmtId="0" xfId="0" applyFont="1" applyBorder="1">
      <alignment horizontal="left" indent="1" vertical="center" wrapText="1"/>
    </xf>
    <xf fontId="72" fillId="0" borderId="22" numFmtId="0" xfId="0" applyFont="1" applyBorder="1">
      <alignment horizontal="left" indent="1" vertical="center" wrapText="1"/>
    </xf>
    <xf fontId="22" fillId="0" borderId="27" numFmtId="0" xfId="0" applyFont="1" applyBorder="1">
      <alignment horizontal="left" indent="1" vertical="center"/>
    </xf>
    <xf fontId="22" fillId="39" borderId="12" numFmtId="0" xfId="0" applyFont="1" applyFill="1" applyBorder="1">
      <alignment horizontal="left" vertical="top" wrapText="1"/>
      <protection locked="0"/>
    </xf>
    <xf fontId="0" fillId="39" borderId="12" numFmtId="0" xfId="0" applyFont="1" applyFill="1" applyBorder="1">
      <alignment horizontal="left" vertical="top"/>
      <protection locked="0"/>
    </xf>
    <xf fontId="0" fillId="0" borderId="17" numFmtId="0" xfId="0" applyFont="1" applyBorder="1">
      <alignment horizontal="center" vertical="top"/>
    </xf>
    <xf fontId="0" fillId="0" borderId="36" numFmtId="0" xfId="0" applyFont="1" applyBorder="1">
      <alignment horizontal="center" vertical="top"/>
    </xf>
    <xf fontId="0" fillId="0" borderId="23" numFmtId="0" xfId="0" applyFont="1" applyBorder="1">
      <alignment horizontal="center" vertical="top"/>
    </xf>
    <xf fontId="22" fillId="0" borderId="17" numFmtId="0" xfId="0" applyFont="1" applyBorder="1">
      <alignment horizontal="left" vertical="top" wrapText="1"/>
    </xf>
    <xf fontId="22" fillId="0" borderId="36" numFmtId="0" xfId="0" applyFont="1" applyBorder="1">
      <alignment horizontal="left" vertical="top" wrapText="1"/>
    </xf>
    <xf fontId="22" fillId="0" borderId="23" numFmtId="0" xfId="0" applyFont="1" applyBorder="1">
      <alignment horizontal="left" vertical="top" wrapText="1"/>
    </xf>
    <xf fontId="0" fillId="0" borderId="0" numFmtId="0" xfId="0" applyFont="1" quotePrefix="1">
      <alignment horizontal="left" indent="1" vertical="top" wrapText="1"/>
    </xf>
    <xf fontId="0" fillId="0" borderId="0" numFmtId="0" xfId="0" applyFont="1">
      <alignment horizontal="left" indent="1" vertical="top" wrapText="1"/>
    </xf>
    <xf fontId="0" fillId="0" borderId="0" numFmtId="0" xfId="0" applyFont="1">
      <alignment horizontal="left" vertical="top" wrapText="1"/>
    </xf>
    <xf fontId="22" fillId="0" borderId="17" numFmtId="0" xfId="0" applyFont="1" applyBorder="1">
      <alignment horizontal="center" vertical="center" wrapText="1"/>
    </xf>
    <xf fontId="22" fillId="0" borderId="27" numFmtId="0" xfId="0" applyFont="1" applyBorder="1">
      <alignment horizontal="left" indent="1" vertical="center" wrapText="1"/>
    </xf>
    <xf fontId="39" fillId="0" borderId="0" numFmtId="0" xfId="0" applyFont="1">
      <alignment horizontal="left" vertical="center"/>
    </xf>
    <xf fontId="39" fillId="0" borderId="24" numFmtId="0" xfId="0" applyFont="1" applyBorder="1">
      <alignment horizontal="left" vertical="center"/>
    </xf>
    <xf fontId="22" fillId="0" borderId="12" numFmtId="0" xfId="0" applyFont="1" applyBorder="1">
      <alignment horizontal="left" vertical="center" wrapText="1"/>
    </xf>
    <xf fontId="22" fillId="0" borderId="37" numFmtId="0" xfId="0" applyFont="1" applyBorder="1">
      <alignment horizontal="left" vertical="center" wrapText="1"/>
    </xf>
    <xf fontId="22" fillId="0" borderId="19" numFmtId="0" xfId="0" applyFont="1" applyBorder="1">
      <alignment horizontal="center" vertical="center"/>
    </xf>
    <xf fontId="22" fillId="0" borderId="0" numFmtId="0" xfId="0" applyFont="1">
      <alignment horizontal="center" vertical="center"/>
    </xf>
    <xf fontId="22" fillId="0" borderId="12" numFmtId="49" xfId="0" applyNumberFormat="1" applyFont="1" applyBorder="1">
      <alignment horizontal="center" vertical="center"/>
    </xf>
    <xf fontId="22" fillId="0" borderId="14" numFmtId="0" xfId="0" applyFont="1" applyBorder="1">
      <alignment horizontal="left" vertical="center" wrapText="1"/>
    </xf>
    <xf fontId="22" fillId="40" borderId="17" numFmtId="49" xfId="0" applyNumberFormat="1" applyFont="1" applyFill="1" applyBorder="1">
      <alignment horizontal="center" vertical="center" wrapText="1"/>
    </xf>
    <xf fontId="22" fillId="40" borderId="36" numFmtId="49" xfId="0" applyNumberFormat="1" applyFont="1" applyFill="1" applyBorder="1">
      <alignment horizontal="center" vertical="center" wrapText="1"/>
    </xf>
    <xf fontId="39" fillId="0" borderId="27" numFmtId="0" xfId="0" applyFont="1" applyBorder="1">
      <alignment horizontal="left" vertical="center"/>
    </xf>
    <xf fontId="39" fillId="0" borderId="29" numFmtId="0" xfId="0" applyFont="1" applyBorder="1">
      <alignment horizontal="left" vertical="center"/>
    </xf>
    <xf fontId="22" fillId="0" borderId="17" numFmtId="49" xfId="0" applyNumberFormat="1" applyFont="1" applyBorder="1">
      <alignment horizontal="center" vertical="center"/>
    </xf>
    <xf fontId="22" fillId="0" borderId="17" numFmtId="0" xfId="0" applyFont="1" applyBorder="1">
      <alignment horizontal="left" vertical="center" wrapText="1"/>
    </xf>
    <xf fontId="22" fillId="0" borderId="19" numFmtId="0" xfId="0" applyFont="1" applyBorder="1">
      <alignment horizontal="left" indent="1" vertical="center" wrapText="1"/>
    </xf>
    <xf fontId="22" fillId="0" borderId="37" numFmtId="0" xfId="0" applyFont="1" applyBorder="1">
      <alignment horizontal="center" vertical="center" wrapText="1"/>
    </xf>
    <xf fontId="22" fillId="0" borderId="20" numFmtId="0" xfId="0" applyFont="1" applyBorder="1">
      <alignment horizontal="center" vertical="center" wrapText="1"/>
    </xf>
    <xf fontId="22" fillId="0" borderId="22" numFmtId="0" xfId="0" applyFont="1" applyBorder="1">
      <alignment horizontal="center" vertical="center" wrapText="1"/>
    </xf>
    <xf fontId="22" fillId="0" borderId="24" numFmtId="0" xfId="0" applyFont="1" applyBorder="1">
      <alignment horizontal="center" vertical="center" wrapText="1"/>
    </xf>
    <xf fontId="22" fillId="0" borderId="17" numFmtId="0" xfId="0" applyFont="1" applyBorder="1">
      <alignment horizontal="center" vertical="center" wrapText="1"/>
    </xf>
    <xf fontId="22" fillId="0" borderId="15" numFmtId="0" xfId="0" applyFont="1" applyBorder="1">
      <alignment horizontal="center" vertical="center" wrapText="1"/>
    </xf>
    <xf fontId="22" fillId="0" borderId="12" numFmtId="0" xfId="0" applyFont="1" applyBorder="1">
      <alignment horizontal="center" vertical="center" wrapText="1"/>
    </xf>
    <xf fontId="22" fillId="0" borderId="36" numFmtId="0" xfId="0" applyFont="1" applyBorder="1">
      <alignment horizontal="center" vertical="center" wrapText="1"/>
    </xf>
    <xf fontId="22" fillId="0" borderId="30" numFmtId="0" xfId="0" applyFont="1" applyBorder="1">
      <alignment horizontal="center" vertical="center" wrapText="1"/>
    </xf>
    <xf fontId="22" fillId="0" borderId="29" numFmtId="0" xfId="0" applyFont="1" applyBorder="1">
      <alignment horizontal="center" vertical="center" wrapText="1"/>
    </xf>
    <xf fontId="22" fillId="35" borderId="0" numFmtId="49" xfId="0" applyNumberFormat="1" applyFont="1" applyFill="1">
      <alignment horizontal="center" vertical="center" wrapText="1"/>
    </xf>
    <xf fontId="44" fillId="0" borderId="0" numFmtId="0" xfId="0" applyFont="1">
      <alignment horizontal="right" vertical="top" wrapText="1"/>
    </xf>
    <xf fontId="0" fillId="35" borderId="12" numFmtId="49" xfId="0" applyNumberFormat="1" applyFont="1" applyFill="1" applyBorder="1">
      <alignment horizontal="center" vertical="center" wrapText="1"/>
    </xf>
    <xf fontId="22" fillId="35" borderId="12" numFmtId="49" xfId="0" applyNumberFormat="1" applyFont="1" applyFill="1" applyBorder="1">
      <alignment horizontal="center" vertical="center" wrapText="1"/>
    </xf>
    <xf fontId="44" fillId="0" borderId="0" numFmtId="0" xfId="0" applyFont="1">
      <alignment horizontal="left" indent="1" vertical="top" wrapText="1"/>
    </xf>
    <xf fontId="93" fillId="35" borderId="0" numFmtId="0" xfId="0" applyFont="1" applyFill="1">
      <alignment horizontal="left" vertical="center" wrapText="1"/>
    </xf>
    <xf fontId="0" fillId="35" borderId="12" numFmtId="0" xfId="0" applyFont="1" applyFill="1" applyBorder="1">
      <alignment horizontal="center" vertical="center" wrapText="1"/>
    </xf>
    <xf fontId="22" fillId="35" borderId="12" numFmtId="0" xfId="0" applyFont="1" applyFill="1" applyBorder="1">
      <alignment horizontal="center" vertical="center" wrapText="1"/>
    </xf>
    <xf fontId="22" fillId="35" borderId="17" numFmtId="0" xfId="0" applyFont="1" applyFill="1" applyBorder="1">
      <alignment horizontal="left" vertical="top" wrapText="1"/>
    </xf>
    <xf fontId="22" fillId="35" borderId="36" numFmtId="0" xfId="0" applyFont="1" applyFill="1" applyBorder="1">
      <alignment horizontal="left" vertical="top" wrapText="1"/>
    </xf>
    <xf fontId="22" fillId="35" borderId="23" numFmtId="0" xfId="0" applyFont="1" applyFill="1" applyBorder="1">
      <alignment horizontal="left" vertical="top" wrapText="1"/>
    </xf>
    <xf fontId="22" fillId="35" borderId="24" numFmtId="0" xfId="0" applyFont="1" applyFill="1" applyBorder="1">
      <alignment horizontal="center" vertical="center" wrapText="1"/>
    </xf>
    <xf fontId="22" fillId="0" borderId="29" numFmtId="0" xfId="0" applyFont="1" applyBorder="1">
      <alignment horizontal="left" indent="1" vertical="center" wrapText="1"/>
    </xf>
    <xf fontId="22" fillId="0" borderId="23" numFmtId="0" xfId="0" applyFont="1" applyBorder="1">
      <alignment horizontal="left" indent="1" vertical="center" wrapText="1"/>
    </xf>
    <xf fontId="22" fillId="0" borderId="30" numFmtId="0" xfId="0" applyFont="1" applyBorder="1">
      <alignment horizontal="left" indent="1" vertical="center" wrapText="1"/>
    </xf>
    <xf fontId="46" fillId="0" borderId="0" numFmtId="0" xfId="0" applyFont="1">
      <alignment horizontal="center" vertical="center" wrapText="1"/>
    </xf>
    <xf fontId="0" fillId="0" borderId="14" numFmtId="0" xfId="0" applyFont="1" applyBorder="1">
      <alignment horizontal="center" vertical="center" wrapText="1"/>
    </xf>
    <xf fontId="0" fillId="0" borderId="15" numFmtId="0" xfId="0" applyFont="1" applyBorder="1">
      <alignment horizontal="center" vertical="center" wrapText="1"/>
    </xf>
    <xf fontId="0" fillId="0" borderId="13" numFmtId="0" xfId="0" applyFont="1" applyBorder="1">
      <alignment horizontal="center" vertical="center" wrapText="1"/>
    </xf>
    <xf fontId="0" fillId="0" borderId="17" numFmtId="0" xfId="0" applyFont="1" applyBorder="1">
      <alignment horizontal="left" vertical="top" wrapText="1"/>
    </xf>
    <xf fontId="0" fillId="0" borderId="23" numFmtId="0" xfId="0" applyFont="1" applyBorder="1">
      <alignment horizontal="left" vertical="top" wrapText="1"/>
    </xf>
    <xf fontId="0" fillId="0" borderId="12" numFmtId="0" xfId="0" applyFont="1" applyBorder="1">
      <alignment horizontal="center" vertical="center" wrapText="1"/>
    </xf>
    <xf fontId="0" fillId="0" borderId="17" numFmtId="0" xfId="0" applyFont="1" applyBorder="1">
      <alignment horizontal="center" vertical="center" wrapText="1"/>
    </xf>
    <xf fontId="0" fillId="0" borderId="23" numFmtId="0" xfId="0" applyFont="1" applyBorder="1">
      <alignment horizontal="center" vertical="center" wrapText="1"/>
    </xf>
    <xf fontId="0" fillId="0" borderId="37" numFmtId="0" xfId="0" applyFont="1" applyBorder="1">
      <alignment horizontal="center" vertical="center" wrapText="1"/>
    </xf>
    <xf fontId="0" fillId="0" borderId="30" numFmtId="0" xfId="0" applyFont="1" applyBorder="1">
      <alignment horizontal="center" vertical="center" wrapText="1"/>
    </xf>
    <xf fontId="0" fillId="0" borderId="17" numFmtId="0" xfId="0" applyFont="1" applyBorder="1">
      <alignment horizontal="center" vertical="center" wrapText="1"/>
    </xf>
    <xf fontId="0" fillId="0" borderId="23" numFmtId="0" xfId="0" applyFont="1" applyBorder="1">
      <alignment horizontal="center" vertical="center" wrapText="1"/>
    </xf>
    <xf fontId="0" fillId="0" borderId="20" numFmtId="0" xfId="0" applyFont="1" applyBorder="1">
      <alignment horizontal="center" vertical="center" wrapText="1"/>
    </xf>
    <xf fontId="0" fillId="0" borderId="29" numFmtId="0" xfId="0" applyFont="1" applyBorder="1">
      <alignment horizontal="center" vertical="center" wrapText="1"/>
    </xf>
    <xf fontId="22" fillId="0" borderId="23" numFmtId="0" xfId="0" applyFont="1" applyBorder="1">
      <alignment horizontal="center" vertical="center" wrapText="1"/>
    </xf>
    <xf fontId="0" fillId="0" borderId="37" numFmtId="49" xfId="0" applyNumberFormat="1" applyFont="1" applyBorder="1">
      <alignment horizontal="center" vertical="center" wrapText="1"/>
    </xf>
    <xf fontId="0" fillId="0" borderId="30" numFmtId="49" xfId="0" applyNumberFormat="1" applyFont="1" applyBorder="1">
      <alignment horizontal="center" vertical="center" wrapText="1"/>
    </xf>
    <xf fontId="22" fillId="40" borderId="19" numFmtId="0" xfId="0" applyFont="1" applyFill="1" applyBorder="1">
      <alignment horizontal="left" vertical="center" wrapText="1"/>
    </xf>
    <xf fontId="22" fillId="40" borderId="27" numFmtId="0" xfId="0" applyFont="1" applyFill="1" applyBorder="1">
      <alignment horizontal="left" vertical="center" wrapText="1"/>
    </xf>
    <xf fontId="22" fillId="0" borderId="19" numFmtId="0" xfId="0" applyFont="1" applyBorder="1">
      <alignment horizontal="left" indent="1" vertical="top" wrapText="1"/>
    </xf>
    <xf fontId="22" fillId="0" borderId="20" numFmtId="0" xfId="0" applyFont="1" applyBorder="1">
      <alignment horizontal="left" indent="1" vertical="center" wrapText="1"/>
    </xf>
    <xf fontId="22" fillId="0" borderId="17" numFmtId="0" xfId="0" applyFont="1" applyBorder="1">
      <alignment horizontal="left" indent="1" vertical="center" wrapText="1"/>
    </xf>
    <xf fontId="22" fillId="0" borderId="37" numFmtId="0" xfId="0" applyFont="1" applyBorder="1">
      <alignment horizontal="left" indent="1" vertical="center" wrapText="1"/>
    </xf>
    <xf fontId="0" fillId="0" borderId="36" numFmtId="0" xfId="0" applyFont="1" applyBorder="1">
      <alignment horizontal="left" vertical="top" wrapText="1"/>
    </xf>
    <xf fontId="22" fillId="34" borderId="14" numFmtId="0" xfId="0" applyFont="1" applyFill="1" applyBorder="1">
      <alignment horizontal="left" vertical="center" wrapText="1"/>
    </xf>
    <xf fontId="22" fillId="34" borderId="15" numFmtId="0" xfId="0" applyFont="1" applyFill="1" applyBorder="1">
      <alignment horizontal="left" vertical="center" wrapText="1"/>
    </xf>
    <xf fontId="22" fillId="34" borderId="13" numFmtId="0" xfId="0" applyFont="1" applyFill="1" applyBorder="1">
      <alignment horizontal="left" vertical="center" wrapText="1"/>
    </xf>
    <xf fontId="22" fillId="40" borderId="14" numFmtId="0" xfId="0" applyFont="1" applyFill="1" applyBorder="1">
      <alignment horizontal="left" vertical="center" wrapText="1"/>
    </xf>
    <xf fontId="22" fillId="40" borderId="15" numFmtId="0" xfId="0" applyFont="1" applyFill="1" applyBorder="1">
      <alignment horizontal="left" vertical="center" wrapText="1"/>
    </xf>
    <xf fontId="22" fillId="40" borderId="13" numFmtId="0" xfId="0" applyFont="1" applyFill="1" applyBorder="1">
      <alignment horizontal="left" vertical="center" wrapText="1"/>
    </xf>
    <xf fontId="22" fillId="0" borderId="19" numFmtId="0" xfId="0" applyFont="1" applyBorder="1">
      <alignment horizontal="left" indent="1" vertical="top" wrapText="1"/>
    </xf>
    <xf fontId="22" fillId="0" borderId="27" numFmtId="0" xfId="0" applyFont="1" applyBorder="1">
      <alignment horizontal="left" indent="1" vertical="center" wrapText="1"/>
    </xf>
    <xf fontId="0" fillId="35" borderId="12" numFmtId="0" xfId="0" applyFont="1" applyFill="1" applyBorder="1">
      <alignment horizontal="right" indent="1" vertical="center" wrapText="1"/>
    </xf>
    <xf fontId="22" fillId="34" borderId="12" numFmtId="0" xfId="0" applyFont="1" applyFill="1" applyBorder="1">
      <alignment horizontal="left" indent="1" vertical="center" wrapText="1"/>
    </xf>
    <xf fontId="36" fillId="0" borderId="27" numFmtId="0" xfId="0" applyFont="1" applyBorder="1">
      <alignment horizontal="center" vertical="center" wrapText="1"/>
    </xf>
    <xf fontId="44" fillId="0" borderId="17" numFmtId="0" xfId="0" applyFont="1" applyBorder="1">
      <alignment horizontal="left" vertical="top" wrapText="1"/>
    </xf>
    <xf fontId="44" fillId="0" borderId="36" numFmtId="0" xfId="0" applyFont="1" applyBorder="1">
      <alignment horizontal="left" vertical="top" wrapText="1"/>
    </xf>
    <xf fontId="44" fillId="0" borderId="23" numFmtId="0" xfId="0" applyFont="1" applyBorder="1">
      <alignment horizontal="left" vertical="top" wrapText="1"/>
    </xf>
    <xf fontId="46" fillId="0" borderId="12" numFmtId="0" xfId="0" applyFont="1" applyBorder="1">
      <alignment horizontal="center" vertical="center" wrapText="1"/>
    </xf>
    <xf fontId="47" fillId="0" borderId="0" numFmtId="0" xfId="0" applyFont="1">
      <alignment horizontal="center" vertical="center" wrapText="1"/>
    </xf>
    <xf fontId="46" fillId="0" borderId="12" numFmtId="0" xfId="0" applyFont="1" applyBorder="1">
      <alignment horizontal="center" vertical="center"/>
    </xf>
    <xf fontId="46" fillId="0" borderId="14" numFmtId="0" xfId="0" applyFont="1" applyBorder="1">
      <alignment horizontal="center" vertical="center"/>
    </xf>
    <xf fontId="22" fillId="0" borderId="17" numFmtId="0" xfId="0" applyFont="1" applyBorder="1">
      <alignment horizontal="center" vertical="center" wrapText="1"/>
    </xf>
    <xf fontId="22" fillId="0" borderId="23" numFmtId="0" xfId="0" applyFont="1" applyBorder="1">
      <alignment horizontal="center" vertical="center" wrapText="1"/>
    </xf>
    <xf fontId="22" fillId="0" borderId="14" numFmtId="0" xfId="0" applyFont="1" applyBorder="1">
      <alignment horizontal="center" vertical="center" wrapText="1"/>
    </xf>
    <xf fontId="22" fillId="0" borderId="13" numFmtId="0" xfId="0" applyFont="1" applyBorder="1">
      <alignment horizontal="center" vertical="center" wrapText="1"/>
    </xf>
    <xf fontId="22" fillId="34" borderId="12" numFmtId="190" xfId="0" applyNumberFormat="1" applyFont="1" applyFill="1" applyBorder="1">
      <alignment horizontal="left" indent="1" vertical="center" wrapText="1"/>
    </xf>
    <xf fontId="0" fillId="39" borderId="12" numFmtId="190" xfId="0" applyNumberFormat="1" applyFont="1" applyFill="1" applyBorder="1">
      <alignment horizontal="center" vertical="center" wrapText="1"/>
      <protection locked="0"/>
    </xf>
    <xf fontId="0" fillId="39" borderId="12" numFmtId="49" xfId="0" applyNumberFormat="1" applyFont="1" applyFill="1" applyBorder="1">
      <alignment horizontal="center" vertical="center" wrapText="1"/>
      <protection locked="0"/>
    </xf>
    <xf fontId="46" fillId="0" borderId="12" numFmtId="190" xfId="0" applyNumberFormat="1" applyFont="1" applyBorder="1">
      <alignment horizontal="center" vertical="center" wrapText="1"/>
    </xf>
    <xf fontId="46" fillId="0" borderId="12" numFmtId="49" xfId="0" applyNumberFormat="1" applyFont="1" applyBorder="1">
      <alignment horizontal="center" vertical="center" wrapText="1"/>
    </xf>
    <xf fontId="22" fillId="0" borderId="15" numFmtId="0" xfId="0" applyFont="1" applyBorder="1">
      <alignment horizontal="center" vertical="center" wrapText="1"/>
    </xf>
    <xf fontId="0" fillId="0" borderId="14" numFmtId="0" xfId="0" applyFont="1" applyBorder="1">
      <alignment horizontal="center" vertical="center" wrapText="1"/>
    </xf>
    <xf fontId="0" fillId="0" borderId="13" numFmtId="0" xfId="0" applyFont="1" applyBorder="1">
      <alignment horizontal="center" vertical="center" wrapText="1"/>
    </xf>
    <xf fontId="80" fillId="35" borderId="19" numFmtId="0" xfId="0" applyFont="1" applyFill="1" applyBorder="1">
      <alignment horizontal="center" vertical="center" wrapText="1"/>
    </xf>
    <xf fontId="22" fillId="35" borderId="12" numFmtId="0" xfId="0" applyFont="1" applyFill="1" applyBorder="1">
      <alignment horizontal="left" vertical="center" wrapText="1"/>
    </xf>
    <xf fontId="0" fillId="35" borderId="14" numFmtId="0" xfId="0" applyFont="1" applyFill="1" applyBorder="1">
      <alignment horizontal="center" vertical="center" wrapText="1"/>
    </xf>
    <xf fontId="0" fillId="35" borderId="15" numFmtId="0" xfId="0" applyFont="1" applyFill="1" applyBorder="1">
      <alignment horizontal="center" vertical="center" wrapText="1"/>
    </xf>
    <xf fontId="0" fillId="35" borderId="13" numFmtId="0" xfId="0" applyFont="1" applyFill="1" applyBorder="1">
      <alignment horizontal="center" vertical="center" wrapText="1"/>
    </xf>
    <xf fontId="22" fillId="35" borderId="17" numFmtId="0" xfId="0" applyFont="1" applyFill="1" applyBorder="1">
      <alignment horizontal="center" vertical="center" wrapText="1"/>
    </xf>
    <xf fontId="22" fillId="35" borderId="36" numFmtId="0" xfId="0" applyFont="1" applyFill="1" applyBorder="1">
      <alignment horizontal="center" vertical="center" wrapText="1"/>
    </xf>
    <xf fontId="22" fillId="35" borderId="23" numFmtId="0" xfId="0" applyFont="1" applyFill="1" applyBorder="1">
      <alignment horizontal="center" vertical="center" wrapText="1"/>
    </xf>
    <xf fontId="39" fillId="37" borderId="17" numFmtId="49" xfId="0" applyNumberFormat="1" applyFont="1" applyFill="1" applyBorder="1">
      <alignment horizontal="center" textRotation="90" vertical="center" wrapText="1"/>
    </xf>
    <xf fontId="39" fillId="37" borderId="36" numFmtId="49" xfId="0" applyNumberFormat="1" applyFont="1" applyFill="1" applyBorder="1">
      <alignment horizontal="center" textRotation="90" vertical="center" wrapText="1"/>
    </xf>
    <xf fontId="39" fillId="37" borderId="23" numFmtId="49" xfId="0" applyNumberFormat="1" applyFont="1" applyFill="1" applyBorder="1">
      <alignment horizontal="center" textRotation="90" vertical="center" wrapText="1"/>
    </xf>
    <xf fontId="46" fillId="0" borderId="17" numFmtId="0" xfId="0" applyFont="1" applyBorder="1">
      <alignment horizontal="center" vertical="center" wrapText="1"/>
    </xf>
    <xf fontId="46" fillId="0" borderId="23" numFmtId="0" xfId="0" applyFont="1" applyBorder="1">
      <alignment horizontal="center" vertical="center" wrapText="1"/>
    </xf>
    <xf fontId="22" fillId="0" borderId="0" numFmtId="0" xfId="0" applyFont="1">
      <alignment horizontal="left" vertical="top" wrapText="1"/>
    </xf>
    <xf fontId="46" fillId="0" borderId="14" numFmtId="0" xfId="0" applyFont="1" applyBorder="1">
      <alignment horizontal="center" vertical="center" wrapText="1"/>
    </xf>
    <xf fontId="0" fillId="39" borderId="17" numFmtId="190" xfId="0" applyNumberFormat="1" applyFont="1" applyFill="1" applyBorder="1">
      <alignment horizontal="center" vertical="center" wrapText="1"/>
      <protection locked="0"/>
    </xf>
    <xf fontId="0" fillId="39" borderId="23" numFmtId="49" xfId="0" applyNumberFormat="1" applyFont="1" applyFill="1" applyBorder="1">
      <alignment horizontal="center" vertical="center" wrapText="1"/>
      <protection locked="0"/>
    </xf>
    <xf fontId="22" fillId="0" borderId="12" numFmtId="0" xfId="0" applyFont="1" applyBorder="1">
      <alignment horizontal="center" vertical="center"/>
    </xf>
    <xf fontId="22" fillId="0" borderId="14" numFmtId="0" xfId="0" applyFont="1" applyBorder="1">
      <alignment horizontal="center" vertical="center"/>
    </xf>
    <xf fontId="0" fillId="35" borderId="19" numFmtId="0" xfId="0" applyFont="1" applyFill="1" applyBorder="1">
      <alignment horizontal="center" vertical="center" wrapText="1"/>
    </xf>
    <xf fontId="47" fillId="0" borderId="17" numFmtId="0" xfId="0" applyFont="1" applyBorder="1">
      <alignment horizontal="center" vertical="center" wrapText="1"/>
    </xf>
    <xf fontId="47" fillId="0" borderId="23" numFmtId="0" xfId="0" applyFont="1" applyBorder="1">
      <alignment horizontal="center" vertical="center" wrapText="1"/>
    </xf>
    <xf fontId="22" fillId="0" borderId="37" numFmtId="0" xfId="0" applyFont="1" applyBorder="1">
      <alignment horizontal="center" vertical="center" wrapText="1"/>
    </xf>
    <xf fontId="22" fillId="0" borderId="30" numFmtId="0" xfId="0" applyFont="1" applyBorder="1">
      <alignment horizontal="center" vertical="center" wrapText="1"/>
    </xf>
    <xf fontId="47" fillId="0" borderId="14" numFmtId="0" xfId="0" applyFont="1" applyBorder="1">
      <alignment horizontal="left" vertical="center" wrapText="1"/>
    </xf>
    <xf fontId="47" fillId="0" borderId="15" numFmtId="0" xfId="0" applyFont="1" applyBorder="1">
      <alignment horizontal="left" vertical="center" wrapText="1"/>
    </xf>
    <xf fontId="47" fillId="0" borderId="13" numFmtId="0" xfId="0" applyFont="1" applyBorder="1">
      <alignment horizontal="left" vertical="center" wrapText="1"/>
    </xf>
    <xf fontId="0" fillId="0" borderId="0" numFmtId="0" xfId="0" applyFont="1">
      <alignment horizontal="left" vertical="top" wrapText="1"/>
    </xf>
    <xf fontId="22" fillId="34" borderId="37" numFmtId="0" xfId="0" applyFont="1" applyFill="1" applyBorder="1">
      <alignment horizontal="left" vertical="center" wrapText="1"/>
    </xf>
    <xf fontId="22" fillId="34" borderId="19" numFmtId="0" xfId="0" applyFont="1" applyFill="1" applyBorder="1">
      <alignment horizontal="left" vertical="center" wrapText="1"/>
    </xf>
    <xf fontId="22" fillId="34" borderId="20" numFmtId="0" xfId="0" applyFont="1" applyFill="1" applyBorder="1">
      <alignment horizontal="left" vertical="center" wrapText="1"/>
    </xf>
    <xf fontId="22" fillId="34" borderId="12" numFmtId="0" xfId="0" applyFont="1" applyFill="1" applyBorder="1">
      <alignment horizontal="left" vertical="center" wrapText="1"/>
    </xf>
    <xf fontId="47" fillId="0" borderId="12" numFmtId="0" xfId="0" applyFont="1" applyBorder="1">
      <alignment horizontal="left" vertical="center" wrapText="1"/>
    </xf>
    <xf fontId="22" fillId="40" borderId="12" numFmtId="0" xfId="0" applyFont="1" applyFill="1" applyBorder="1">
      <alignment horizontal="left" vertical="center" wrapText="1"/>
    </xf>
    <xf fontId="0" fillId="39" borderId="23" numFmtId="190" xfId="0" applyNumberFormat="1" applyFont="1" applyFill="1" applyBorder="1">
      <alignment horizontal="center" vertical="center" wrapText="1"/>
      <protection locked="0"/>
    </xf>
    <xf fontId="22" fillId="0" borderId="19" numFmtId="0" xfId="0" applyFont="1" applyBorder="1">
      <alignment horizontal="left" indent="1" vertical="center" wrapText="1"/>
    </xf>
    <xf fontId="22" fillId="40" borderId="20" numFmtId="0" xfId="0" applyFont="1" applyFill="1" applyBorder="1">
      <alignment horizontal="left" vertical="center" wrapText="1"/>
    </xf>
    <xf fontId="0" fillId="39" borderId="12" numFmtId="49" xfId="0" applyNumberFormat="1" applyFont="1" applyFill="1" applyBorder="1">
      <alignment horizontal="center" vertical="center" wrapText="1"/>
      <protection locked="0"/>
    </xf>
    <xf fontId="22" fillId="0" borderId="12" numFmtId="0" xfId="0" applyFont="1" applyBorder="1">
      <alignment horizontal="center" vertical="center"/>
    </xf>
    <xf fontId="22" fillId="0" borderId="14" numFmtId="0" xfId="0" applyFont="1" applyBorder="1">
      <alignment horizontal="center" vertical="center"/>
    </xf>
    <xf fontId="22" fillId="0" borderId="12" numFmtId="0" xfId="0" applyFont="1" applyBorder="1">
      <alignment horizontal="center" vertical="center" wrapText="1"/>
    </xf>
    <xf fontId="22" fillId="0" borderId="19" numFmtId="0" xfId="0" applyFont="1" applyBorder="1">
      <alignment horizontal="center" vertical="center" wrapText="1"/>
    </xf>
    <xf fontId="22" fillId="0" borderId="20" numFmtId="0" xfId="0" applyFont="1" applyBorder="1">
      <alignment horizontal="center" vertical="center" wrapText="1"/>
    </xf>
    <xf fontId="22" fillId="0" borderId="27" numFmtId="0" xfId="0" applyFont="1" applyBorder="1">
      <alignment horizontal="center" vertical="center" wrapText="1"/>
    </xf>
    <xf fontId="22" fillId="0" borderId="29" numFmtId="0" xfId="0" applyFont="1" applyBorder="1">
      <alignment horizontal="center" vertical="center" wrapText="1"/>
    </xf>
    <xf fontId="0" fillId="0" borderId="17" numFmtId="0" xfId="0" applyFont="1" applyBorder="1">
      <alignment horizontal="center" vertical="center" wrapText="1"/>
    </xf>
    <xf fontId="0" fillId="0" borderId="36" numFmtId="0" xfId="0" applyFont="1" applyBorder="1">
      <alignment horizontal="center" vertical="center" wrapText="1"/>
    </xf>
    <xf fontId="0" fillId="0" borderId="23" numFmtId="0" xfId="0" applyFont="1" applyBorder="1">
      <alignment horizontal="center" vertical="center" wrapText="1"/>
    </xf>
    <xf fontId="0" fillId="0" borderId="15" numFmtId="0" xfId="0" applyFont="1" applyBorder="1">
      <alignment horizontal="center" vertical="center" wrapText="1"/>
    </xf>
    <xf fontId="0" fillId="0" borderId="37" numFmtId="0" xfId="0" applyFont="1" applyBorder="1">
      <alignment horizontal="center" vertical="center" wrapText="1"/>
    </xf>
    <xf fontId="0" fillId="0" borderId="20" numFmtId="0" xfId="0" applyFont="1" applyBorder="1">
      <alignment horizontal="center" vertical="center" wrapText="1"/>
    </xf>
    <xf fontId="0" fillId="0" borderId="30" numFmtId="0" xfId="0" applyFont="1" applyBorder="1">
      <alignment horizontal="center" vertical="center" wrapText="1"/>
    </xf>
    <xf fontId="0" fillId="0" borderId="29" numFmtId="0" xfId="0" applyFont="1" applyBorder="1">
      <alignment horizontal="center" vertical="center" wrapText="1"/>
    </xf>
    <xf fontId="22" fillId="0" borderId="22" numFmtId="0" xfId="0" applyFont="1" applyBorder="1">
      <alignment horizontal="center" vertical="center" wrapText="1"/>
    </xf>
    <xf fontId="36" fillId="0" borderId="12" numFmtId="0" xfId="0" applyFont="1" applyBorder="1">
      <alignment horizontal="center" vertical="center" wrapText="1"/>
    </xf>
    <xf fontId="22" fillId="40" borderId="12" numFmtId="49" xfId="0" applyNumberFormat="1" applyFont="1" applyFill="1" applyBorder="1">
      <alignment horizontal="left" indent="1" vertical="center" wrapText="1"/>
    </xf>
    <xf fontId="0" fillId="35" borderId="37" numFmtId="0" xfId="0" applyFont="1" applyFill="1" applyBorder="1">
      <alignment horizontal="center" vertical="center" wrapText="1"/>
    </xf>
    <xf fontId="0" fillId="35" borderId="20" numFmtId="0" xfId="0" applyFont="1" applyFill="1" applyBorder="1">
      <alignment horizontal="center" vertical="center" wrapText="1"/>
    </xf>
    <xf fontId="0" fillId="35" borderId="22" numFmtId="0" xfId="0" applyFont="1" applyFill="1" applyBorder="1">
      <alignment horizontal="center" vertical="center" wrapText="1"/>
    </xf>
    <xf fontId="0" fillId="35" borderId="0" numFmtId="0" xfId="0" applyFont="1" applyFill="1">
      <alignment horizontal="center" vertical="center" wrapText="1"/>
    </xf>
    <xf fontId="0" fillId="35" borderId="24" numFmtId="0" xfId="0" applyFont="1" applyFill="1" applyBorder="1">
      <alignment horizontal="center" vertical="center" wrapText="1"/>
    </xf>
    <xf fontId="0" fillId="35" borderId="30" numFmtId="0" xfId="0" applyFont="1" applyFill="1" applyBorder="1">
      <alignment horizontal="center" vertical="center" wrapText="1"/>
    </xf>
    <xf fontId="0" fillId="35" borderId="27" numFmtId="0" xfId="0" applyFont="1" applyFill="1" applyBorder="1">
      <alignment horizontal="center" vertical="center" wrapText="1"/>
    </xf>
    <xf fontId="0" fillId="35" borderId="29" numFmtId="0" xfId="0" applyFont="1" applyFill="1" applyBorder="1">
      <alignment horizontal="center" vertical="center" wrapText="1"/>
    </xf>
    <xf fontId="22" fillId="35" borderId="37" numFmtId="0" xfId="0" applyFont="1" applyFill="1" applyBorder="1">
      <alignment horizontal="center" vertical="center" wrapText="1"/>
    </xf>
    <xf fontId="22" fillId="35" borderId="22" numFmtId="0" xfId="0" applyFont="1" applyFill="1" applyBorder="1">
      <alignment horizontal="center" vertical="center" wrapText="1"/>
    </xf>
    <xf fontId="22" fillId="35" borderId="30" numFmtId="0" xfId="0" applyFont="1" applyFill="1" applyBorder="1">
      <alignment horizontal="center" vertical="center" wrapText="1"/>
    </xf>
    <xf fontId="22" fillId="39" borderId="12" numFmtId="0" xfId="0" applyFont="1" applyFill="1" applyBorder="1">
      <alignment horizontal="center" vertical="center" wrapText="1"/>
      <protection locked="0"/>
    </xf>
    <xf fontId="22" fillId="34" borderId="12" numFmtId="0" xfId="0" applyFont="1" applyFill="1" applyBorder="1">
      <alignment horizontal="center" vertical="center" wrapText="1"/>
    </xf>
    <xf fontId="22" fillId="35" borderId="17" numFmtId="0" xfId="0" applyFont="1" applyFill="1" applyBorder="1">
      <alignment horizontal="left" vertical="center" wrapText="1"/>
    </xf>
    <xf fontId="22" fillId="35" borderId="36" numFmtId="0" xfId="0" applyFont="1" applyFill="1" applyBorder="1">
      <alignment horizontal="left" vertical="center" wrapText="1"/>
    </xf>
    <xf fontId="22" fillId="35" borderId="23" numFmtId="0" xfId="0" applyFont="1" applyFill="1" applyBorder="1">
      <alignment horizontal="left" vertical="center" wrapText="1"/>
    </xf>
    <xf fontId="22" fillId="39" borderId="17" numFmtId="49" xfId="0" applyNumberFormat="1" applyFont="1" applyFill="1" applyBorder="1">
      <alignment horizontal="left" indent="6" vertical="center" wrapText="1"/>
      <protection locked="0"/>
    </xf>
    <xf fontId="22" fillId="39" borderId="36" numFmtId="49" xfId="0" applyNumberFormat="1" applyFont="1" applyFill="1" applyBorder="1">
      <alignment horizontal="left" indent="6" vertical="center" wrapText="1"/>
      <protection locked="0"/>
    </xf>
    <xf fontId="22" fillId="39" borderId="23" numFmtId="49" xfId="0" applyNumberFormat="1" applyFont="1" applyFill="1" applyBorder="1">
      <alignment horizontal="left" indent="6" vertical="center" wrapText="1"/>
      <protection locked="0"/>
    </xf>
    <xf fontId="47" fillId="0" borderId="24" numFmtId="0" xfId="0" applyFont="1" applyBorder="1">
      <alignment horizontal="center" vertical="top" wrapText="1"/>
    </xf>
    <xf fontId="22" fillId="0" borderId="12" numFmtId="49" xfId="0" applyNumberFormat="1" applyFont="1" applyBorder="1">
      <alignment horizontal="left" indent="1" vertical="center" wrapText="1"/>
    </xf>
    <xf fontId="44" fillId="0" borderId="12" numFmtId="0" xfId="0" applyFont="1" applyBorder="1">
      <alignment horizontal="left" vertical="top" wrapText="1"/>
    </xf>
    <xf fontId="22" fillId="36" borderId="14" numFmtId="0" xfId="0" applyFont="1" applyFill="1" applyBorder="1">
      <alignment horizontal="left" vertical="center" wrapText="1"/>
      <protection locked="0"/>
    </xf>
    <xf fontId="22" fillId="36" borderId="15" numFmtId="0" xfId="0" applyFont="1" applyFill="1" applyBorder="1">
      <alignment horizontal="left" vertical="center" wrapText="1"/>
      <protection locked="0"/>
    </xf>
    <xf fontId="22" fillId="36" borderId="13" numFmtId="0" xfId="0" applyFont="1" applyFill="1" applyBorder="1">
      <alignment horizontal="left" vertical="center" wrapText="1"/>
      <protection locked="0"/>
    </xf>
    <xf fontId="22" fillId="36" borderId="14" numFmtId="49" xfId="0" applyNumberFormat="1" applyFont="1" applyFill="1" applyBorder="1">
      <alignment horizontal="left" vertical="center" wrapText="1"/>
      <protection locked="0"/>
    </xf>
    <xf fontId="22" fillId="36" borderId="15" numFmtId="49" xfId="0" applyNumberFormat="1" applyFont="1" applyFill="1" applyBorder="1">
      <alignment horizontal="left" vertical="center" wrapText="1"/>
      <protection locked="0"/>
    </xf>
    <xf fontId="22" fillId="36" borderId="13" numFmtId="49" xfId="0" applyNumberFormat="1" applyFont="1" applyFill="1" applyBorder="1">
      <alignment horizontal="left" vertical="center" wrapText="1"/>
      <protection locked="0"/>
    </xf>
    <xf fontId="22" fillId="39" borderId="13" numFmtId="0" xfId="0" applyFont="1" applyFill="1" applyBorder="1">
      <alignment horizontal="center" vertical="center" wrapText="1"/>
      <protection locked="0"/>
    </xf>
    <xf fontId="22" fillId="39" borderId="12" numFmtId="4" xfId="0" applyNumberFormat="1" applyFont="1" applyFill="1" applyBorder="1">
      <alignment horizontal="center" vertical="center" wrapText="1"/>
      <protection locked="0"/>
    </xf>
    <xf fontId="22" fillId="40" borderId="20" numFmtId="49" xfId="0" applyNumberFormat="1" applyFont="1" applyFill="1" applyBorder="1">
      <alignment horizontal="center" vertical="center" wrapText="1"/>
    </xf>
    <xf fontId="22" fillId="40" borderId="29" numFmtId="49" xfId="0" applyNumberFormat="1" applyFont="1" applyFill="1" applyBorder="1">
      <alignment horizontal="center" vertical="center" wrapText="1"/>
    </xf>
    <xf fontId="22" fillId="36" borderId="17" numFmtId="49" xfId="0" applyNumberFormat="1" applyFont="1" applyFill="1" applyBorder="1">
      <alignment horizontal="left" indent="6" vertical="center" wrapText="1"/>
      <protection locked="0"/>
    </xf>
    <xf fontId="22" fillId="36" borderId="36" numFmtId="49" xfId="0" applyNumberFormat="1" applyFont="1" applyFill="1" applyBorder="1">
      <alignment horizontal="left" indent="6" vertical="center" wrapText="1"/>
      <protection locked="0"/>
    </xf>
    <xf fontId="22" fillId="36" borderId="23" numFmtId="49" xfId="0" applyNumberFormat="1" applyFont="1" applyFill="1" applyBorder="1">
      <alignment horizontal="left" indent="6" vertical="center" wrapText="1"/>
      <protection locked="0"/>
    </xf>
    <xf fontId="22" fillId="39" borderId="12" numFmtId="4" xfId="0" applyNumberFormat="1" applyFont="1" applyFill="1" applyBorder="1">
      <alignment horizontal="left" indent="1" vertical="center" wrapText="1"/>
      <protection locked="0"/>
    </xf>
    <xf fontId="47" fillId="0" borderId="19" numFmtId="0" xfId="0" applyFont="1" applyBorder="1">
      <alignment horizontal="left" vertical="center" wrapText="1"/>
    </xf>
    <xf fontId="22" fillId="35" borderId="12" numFmtId="49" xfId="59" applyNumberFormat="1" applyFont="1" applyFill="1" applyBorder="1">
      <alignment horizontal="center" vertical="center" wrapText="1"/>
    </xf>
    <xf fontId="22" fillId="0" borderId="12" numFmtId="0" xfId="0" applyFont="1" applyBorder="1">
      <alignment horizontal="center" vertical="center" wrapText="1"/>
    </xf>
    <xf fontId="22" fillId="0" borderId="15" numFmtId="0" xfId="0" applyFont="1" applyBorder="1">
      <alignment horizontal="right" indent="1" vertical="center" wrapText="1"/>
    </xf>
    <xf fontId="22" fillId="0" borderId="13" numFmtId="0" xfId="0" applyFont="1" applyBorder="1">
      <alignment horizontal="right" indent="1" vertical="center" wrapText="1"/>
    </xf>
    <xf fontId="22" fillId="0" borderId="14" numFmtId="0" xfId="0" applyFont="1" applyBorder="1">
      <alignment horizontal="right" vertical="center" wrapText="1"/>
    </xf>
    <xf fontId="22" fillId="0" borderId="15" numFmtId="0" xfId="0" applyFont="1" applyBorder="1">
      <alignment horizontal="right" vertical="center" wrapText="1"/>
    </xf>
    <xf fontId="91" fillId="46" borderId="0" numFmtId="49" xfId="0" applyNumberFormat="1" applyFont="1" applyFill="1">
      <alignment horizontal="center" textRotation="90" vertical="center" wrapText="1"/>
    </xf>
    <xf fontId="72" fillId="0" borderId="0" numFmtId="0" xfId="0" applyFont="1">
      <alignment horizontal="center" vertical="center" wrapText="1"/>
    </xf>
    <xf fontId="91" fillId="46" borderId="0" numFmtId="49" xfId="0" applyNumberFormat="1" applyFont="1" applyFill="1">
      <alignment horizontal="center" textRotation="90" vertical="center" wrapText="1"/>
    </xf>
    <xf fontId="47" fillId="0" borderId="0" numFmtId="0" xfId="0" applyFont="1">
      <alignment horizontal="center" vertical="center" wrapText="1"/>
    </xf>
    <xf fontId="46" fillId="0" borderId="0" numFmtId="0" xfId="0" applyFont="1">
      <alignment horizontal="center" vertical="top"/>
    </xf>
    <xf fontId="22" fillId="0" borderId="23" numFmtId="0" xfId="0" applyFont="1" applyBorder="1">
      <alignment horizontal="left" vertical="center" wrapText="1"/>
    </xf>
    <xf fontId="0" fillId="0" borderId="14" numFmtId="0" xfId="0" applyFont="1" applyBorder="1">
      <alignment horizontal="right" indent="1" vertical="center" wrapText="1"/>
    </xf>
    <xf fontId="0" fillId="0" borderId="15" numFmtId="0" xfId="0" applyFont="1" applyBorder="1">
      <alignment horizontal="right" indent="1" vertical="center" wrapText="1"/>
    </xf>
    <xf fontId="0" fillId="0" borderId="13" numFmtId="0" xfId="0" applyFont="1" applyBorder="1">
      <alignment horizontal="right" indent="1" vertical="center" wrapText="1"/>
    </xf>
    <xf fontId="47" fillId="0" borderId="17" numFmtId="49" xfId="0" applyNumberFormat="1" applyFont="1" applyBorder="1">
      <alignment horizontal="center" vertical="center" wrapText="1"/>
    </xf>
    <xf fontId="47" fillId="0" borderId="36" numFmtId="49" xfId="0" applyNumberFormat="1" applyFont="1" applyBorder="1">
      <alignment horizontal="center" vertical="center" wrapText="1"/>
    </xf>
    <xf fontId="47" fillId="0" borderId="23" numFmtId="49" xfId="0" applyNumberFormat="1" applyFont="1" applyBorder="1">
      <alignment horizontal="center" vertical="center" wrapText="1"/>
    </xf>
    <xf fontId="0" fillId="34" borderId="12" numFmtId="0" xfId="0" applyFont="1" applyFill="1" applyBorder="1">
      <alignment horizontal="left" indent="1" vertical="center" wrapText="1"/>
    </xf>
    <xf fontId="44" fillId="0" borderId="0" numFmtId="0" xfId="0" applyFont="1">
      <alignment horizontal="left" vertical="top" wrapText="1"/>
    </xf>
    <xf fontId="22" fillId="0" borderId="0" numFmtId="0" xfId="0" applyFont="1">
      <alignment horizontal="left" vertical="top" wrapText="1"/>
    </xf>
    <xf fontId="22" fillId="35" borderId="14" numFmtId="0" xfId="0" applyFont="1" applyFill="1" applyBorder="1">
      <alignment horizontal="center" vertical="center" wrapText="1"/>
    </xf>
    <xf fontId="22" fillId="35" borderId="15" numFmtId="0" xfId="0" applyFont="1" applyFill="1" applyBorder="1">
      <alignment horizontal="center" vertical="center" wrapText="1"/>
    </xf>
    <xf fontId="22" fillId="35" borderId="20" numFmtId="0" xfId="0" applyFont="1" applyFill="1" applyBorder="1">
      <alignment horizontal="center" vertical="center" wrapText="1"/>
    </xf>
    <xf fontId="22" fillId="35" borderId="12" numFmtId="0" xfId="0" applyFont="1" applyFill="1" applyBorder="1">
      <alignment horizontal="center" vertical="center"/>
    </xf>
    <xf fontId="47" fillId="0" borderId="15" numFmtId="0" xfId="0" applyFont="1" applyBorder="1">
      <alignment horizontal="right" indent="1" vertical="center" wrapText="1"/>
    </xf>
    <xf fontId="47" fillId="0" borderId="13" numFmtId="0" xfId="0" applyFont="1" applyBorder="1">
      <alignment horizontal="right" indent="1" vertical="center" wrapText="1"/>
    </xf>
    <xf fontId="22" fillId="57" borderId="0" numFmtId="49" xfId="0" applyNumberFormat="1" applyFont="1" applyFill="1">
      <alignment horizontal="center" textRotation="90" vertical="center" wrapText="1"/>
    </xf>
    <xf fontId="22" fillId="34" borderId="14" numFmtId="0" xfId="0" applyFont="1" applyFill="1" applyBorder="1">
      <alignment horizontal="left" vertical="top" wrapText="1"/>
    </xf>
    <xf fontId="22" fillId="34" borderId="13" numFmtId="0" xfId="0" applyFont="1" applyFill="1" applyBorder="1">
      <alignment horizontal="left" vertical="top" wrapText="1"/>
    </xf>
    <xf fontId="22" fillId="34" borderId="14" numFmtId="0" xfId="0" applyFont="1" applyFill="1" applyBorder="1">
      <alignment horizontal="left" indent="1" vertical="top" wrapText="1"/>
    </xf>
    <xf fontId="22" fillId="34" borderId="13" numFmtId="0" xfId="0" applyFont="1" applyFill="1" applyBorder="1">
      <alignment horizontal="left" indent="1" vertical="top" wrapText="1"/>
    </xf>
    <xf fontId="22" fillId="0" borderId="0" numFmtId="49" xfId="0" applyNumberFormat="1" applyFont="1">
      <alignment vertical="center" wrapText="1"/>
    </xf>
    <xf fontId="35" fillId="0" borderId="24" numFmtId="0" xfId="0" applyFont="1" applyBorder="1">
      <alignment horizontal="center" vertical="center" wrapText="1"/>
    </xf>
    <xf fontId="0" fillId="35" borderId="14" numFmtId="0" xfId="0" applyFont="1" applyFill="1" applyBorder="1">
      <alignment horizontal="center" vertical="center" wrapText="1"/>
    </xf>
    <xf fontId="0" fillId="35" borderId="15" numFmtId="0" xfId="0" applyFont="1" applyFill="1" applyBorder="1">
      <alignment horizontal="center" vertical="center" wrapText="1"/>
    </xf>
    <xf fontId="0" fillId="35" borderId="13" numFmtId="0" xfId="0" applyFont="1" applyFill="1" applyBorder="1">
      <alignment horizontal="center" vertical="center" wrapText="1"/>
    </xf>
    <xf fontId="0" fillId="0" borderId="12" numFmtId="49" xfId="0" applyNumberFormat="1" applyFont="1" applyBorder="1">
      <alignment horizontal="center" vertical="center" wrapText="1"/>
    </xf>
    <xf fontId="0" fillId="0" borderId="12" numFmtId="0" xfId="0" applyFont="1" applyBorder="1">
      <alignment horizontal="left" indent="1" vertical="center" wrapText="1"/>
    </xf>
    <xf fontId="22" fillId="0" borderId="12" numFmtId="49" xfId="0" applyNumberFormat="1" applyFont="1" applyBorder="1">
      <alignment horizontal="left" vertical="center" wrapText="1"/>
    </xf>
    <xf fontId="22" fillId="0" borderId="14" numFmtId="49" xfId="0" applyNumberFormat="1" applyFont="1" applyBorder="1">
      <alignment horizontal="center" vertical="center" wrapText="1"/>
    </xf>
    <xf fontId="47" fillId="0" borderId="12" numFmtId="49" xfId="0" applyNumberFormat="1" applyFont="1" applyBorder="1">
      <alignment horizontal="center" vertical="center" wrapText="1"/>
    </xf>
    <xf fontId="22" fillId="0" borderId="0" numFmtId="0" xfId="0" applyFont="1">
      <alignment horizontal="left" vertical="center" wrapText="1"/>
    </xf>
    <xf fontId="22" fillId="35" borderId="12" numFmtId="0" xfId="0" applyFont="1" applyFill="1" applyBorder="1">
      <alignment horizontal="center" vertical="center" wrapText="1"/>
    </xf>
    <xf fontId="22" fillId="35" borderId="37" numFmtId="0" xfId="0" applyFont="1" applyFill="1" applyBorder="1">
      <alignment horizontal="center" vertical="center" wrapText="1"/>
    </xf>
    <xf fontId="22" fillId="35" borderId="20" numFmtId="0" xfId="0" applyFont="1" applyFill="1" applyBorder="1">
      <alignment horizontal="center" vertical="center" wrapText="1"/>
    </xf>
    <xf fontId="22" fillId="35" borderId="22" numFmtId="0" xfId="0" applyFont="1" applyFill="1" applyBorder="1">
      <alignment horizontal="center" vertical="center" wrapText="1"/>
    </xf>
    <xf fontId="22" fillId="35" borderId="24" numFmtId="0" xfId="0" applyFont="1" applyFill="1" applyBorder="1">
      <alignment horizontal="center" vertical="center" wrapText="1"/>
    </xf>
    <xf fontId="22" fillId="35" borderId="30" numFmtId="0" xfId="0" applyFont="1" applyFill="1" applyBorder="1">
      <alignment horizontal="center" vertical="center" wrapText="1"/>
    </xf>
    <xf fontId="22" fillId="35" borderId="29" numFmtId="0" xfId="0" applyFont="1" applyFill="1" applyBorder="1">
      <alignment horizontal="center" vertical="center" wrapText="1"/>
    </xf>
    <xf fontId="22" fillId="0" borderId="60" numFmtId="0" xfId="0" applyFont="1" applyBorder="1">
      <alignment horizontal="center" vertical="center"/>
    </xf>
    <xf fontId="22" fillId="0" borderId="61" numFmtId="0" xfId="0" applyFont="1" applyBorder="1">
      <alignment horizontal="center" vertical="center"/>
    </xf>
    <xf fontId="22" fillId="0" borderId="67" numFmtId="0" xfId="0" applyFont="1" applyBorder="1">
      <alignment horizontal="center" vertical="center"/>
    </xf>
    <xf fontId="0" fillId="0" borderId="12" numFmtId="0" xfId="0" applyFont="1" applyBorder="1">
      <alignment horizontal="center" vertical="center" wrapText="1"/>
    </xf>
    <xf fontId="22" fillId="0" borderId="73" numFmtId="0" xfId="0" applyFont="1" applyBorder="1">
      <alignment horizontal="center" vertical="center"/>
    </xf>
    <xf fontId="22" fillId="0" borderId="43" numFmtId="0" xfId="0" applyFont="1" applyBorder="1">
      <alignment horizontal="center" vertical="center"/>
    </xf>
    <xf fontId="0" fillId="0" borderId="12" numFmtId="49" xfId="0" applyNumberFormat="1" applyFont="1" applyBorder="1">
      <alignment vertical="center" wrapText="1"/>
    </xf>
    <xf fontId="0" fillId="0" borderId="12" numFmtId="49" xfId="0" applyNumberFormat="1" applyFont="1" applyBorder="1">
      <alignment horizontal="left" vertical="center" wrapText="1"/>
    </xf>
    <xf fontId="0" fillId="0" borderId="17" numFmtId="49" xfId="0" applyNumberFormat="1" applyFont="1" applyBorder="1">
      <alignment horizontal="center" vertical="center" wrapText="1"/>
    </xf>
    <xf fontId="0" fillId="0" borderId="36" numFmtId="49" xfId="0" applyNumberFormat="1" applyFont="1" applyBorder="1">
      <alignment horizontal="center" vertical="center" wrapText="1"/>
    </xf>
    <xf fontId="0" fillId="0" borderId="23" numFmtId="49" xfId="0" applyNumberFormat="1" applyFont="1" applyBorder="1">
      <alignment horizontal="center" vertical="center" wrapText="1"/>
    </xf>
    <xf fontId="0" fillId="0" borderId="12" numFmtId="49" xfId="0" applyNumberFormat="1" applyFont="1" applyBorder="1">
      <alignment horizontal="center" vertical="center" wrapText="1"/>
    </xf>
    <xf fontId="0" fillId="34" borderId="12" numFmtId="0" xfId="0" applyFont="1" applyFill="1" applyBorder="1">
      <alignment horizontal="center" vertical="center" wrapText="1"/>
    </xf>
    <xf fontId="0" fillId="0" borderId="12" numFmtId="49" xfId="0" applyNumberFormat="1" applyFont="1" applyBorder="1">
      <alignment horizontal="center" vertical="center"/>
    </xf>
    <xf fontId="22" fillId="0" borderId="14" numFmtId="49" xfId="0" applyNumberFormat="1" applyFont="1" applyBorder="1">
      <alignment horizontal="center" vertical="center" wrapText="1"/>
    </xf>
    <xf fontId="22" fillId="0" borderId="15" numFmtId="49" xfId="0" applyNumberFormat="1" applyFont="1" applyBorder="1">
      <alignment horizontal="center" vertical="center" wrapText="1"/>
    </xf>
    <xf fontId="22" fillId="0" borderId="13" numFmtId="49" xfId="0" applyNumberFormat="1" applyFont="1" applyBorder="1">
      <alignment horizontal="center" vertical="center" wrapText="1"/>
    </xf>
    <xf fontId="22" fillId="0" borderId="20" numFmtId="0" xfId="0" applyFont="1" applyBorder="1">
      <alignment horizontal="left" vertical="top" wrapText="1"/>
    </xf>
    <xf fontId="22" fillId="35" borderId="13" numFmtId="0" xfId="0" applyFont="1" applyFill="1" applyBorder="1">
      <alignment horizontal="center" vertical="center" wrapText="1"/>
    </xf>
    <xf fontId="22" fillId="41" borderId="12" numFmtId="0" xfId="0" applyFont="1" applyFill="1" applyBorder="1">
      <alignment horizontal="center" vertical="center" wrapText="1"/>
    </xf>
    <xf fontId="22" fillId="35" borderId="29" numFmtId="0" xfId="0" applyFont="1" applyFill="1" applyBorder="1">
      <alignment horizontal="center" vertical="center" wrapText="1"/>
    </xf>
    <xf fontId="22" fillId="41" borderId="13" numFmtId="0" xfId="0" applyFont="1" applyFill="1" applyBorder="1">
      <alignment horizontal="center" vertical="center" wrapText="1"/>
    </xf>
    <xf fontId="22" fillId="35" borderId="12" numFmtId="49" xfId="0" applyNumberFormat="1" applyFont="1" applyFill="1" applyBorder="1">
      <alignment horizontal="center" vertical="center" wrapText="1"/>
    </xf>
    <xf fontId="22" fillId="41" borderId="12" numFmtId="49" xfId="0" applyNumberFormat="1" applyFont="1" applyFill="1" applyBorder="1">
      <alignment horizontal="center" vertical="center" wrapText="1"/>
    </xf>
    <xf fontId="46" fillId="47" borderId="14" numFmtId="49" xfId="0" applyNumberFormat="1" applyFont="1" applyFill="1" applyBorder="1">
      <alignment horizontal="center" vertical="center" wrapText="1"/>
    </xf>
    <xf fontId="46" fillId="47" borderId="15" numFmtId="49" xfId="0" applyNumberFormat="1" applyFont="1" applyFill="1" applyBorder="1">
      <alignment horizontal="center" vertical="center" wrapText="1"/>
    </xf>
    <xf fontId="46" fillId="47" borderId="13" numFmtId="49" xfId="0" applyNumberFormat="1" applyFont="1" applyFill="1" applyBorder="1">
      <alignment horizontal="center" vertical="center" wrapText="1"/>
    </xf>
    <xf fontId="46" fillId="50" borderId="14" numFmtId="49" xfId="0" applyNumberFormat="1" applyFont="1" applyFill="1" applyBorder="1">
      <alignment horizontal="center" vertical="center" wrapText="1"/>
    </xf>
    <xf fontId="46" fillId="50" borderId="15" numFmtId="49" xfId="0" applyNumberFormat="1" applyFont="1" applyFill="1" applyBorder="1">
      <alignment horizontal="center" vertical="center" wrapText="1"/>
    </xf>
    <xf fontId="46" fillId="50" borderId="13" numFmtId="49" xfId="0" applyNumberFormat="1" applyFont="1" applyFill="1" applyBorder="1">
      <alignment horizontal="center" vertical="center" wrapText="1"/>
    </xf>
    <xf fontId="22" fillId="51" borderId="14" numFmtId="49" xfId="0" applyNumberFormat="1" applyFont="1" applyFill="1" applyBorder="1">
      <alignment horizontal="center" vertical="center" wrapText="1"/>
    </xf>
    <xf fontId="22" fillId="51" borderId="15" numFmtId="49" xfId="0" applyNumberFormat="1" applyFont="1" applyFill="1" applyBorder="1">
      <alignment horizontal="center" vertical="center" wrapText="1"/>
    </xf>
    <xf fontId="22" fillId="41" borderId="19" numFmtId="49" xfId="0" applyNumberFormat="1" applyFont="1" applyFill="1" applyBorder="1">
      <alignment horizontal="center" vertical="center" wrapText="1"/>
    </xf>
    <xf fontId="22" fillId="41" borderId="0" numFmtId="49" xfId="0" applyNumberFormat="1" applyFont="1" applyFill="1">
      <alignment horizontal="center" vertical="center" wrapText="1"/>
    </xf>
    <xf fontId="22" fillId="41" borderId="27" numFmtId="49" xfId="0" applyNumberFormat="1" applyFont="1" applyFill="1" applyBorder="1">
      <alignment horizontal="center" vertical="center" wrapText="1"/>
    </xf>
    <xf fontId="22" fillId="49" borderId="14" numFmtId="0" xfId="0" applyFont="1" applyFill="1" applyBorder="1">
      <alignment horizontal="center" vertical="center" wrapText="1"/>
    </xf>
    <xf fontId="22" fillId="49" borderId="15" numFmtId="0" xfId="0" applyFont="1" applyFill="1" applyBorder="1">
      <alignment horizontal="center" vertical="center" wrapText="1"/>
    </xf>
    <xf fontId="22" fillId="49" borderId="13" numFmtId="0" xfId="0" applyFont="1" applyFill="1" applyBorder="1">
      <alignment horizontal="center" vertical="center" wrapText="1"/>
    </xf>
    <xf fontId="22" fillId="41" borderId="14" numFmtId="0" xfId="0" applyFont="1" applyFill="1" applyBorder="1">
      <alignment horizontal="center" vertical="center" wrapText="1"/>
    </xf>
    <xf fontId="22" fillId="0" borderId="20" numFmtId="0" xfId="0" applyFont="1" applyBorder="1">
      <alignment horizontal="left" indent="1" vertical="top" wrapText="1"/>
    </xf>
    <xf fontId="22" fillId="0" borderId="17" numFmtId="0" xfId="0" applyFont="1" applyBorder="1">
      <alignment horizontal="left" indent="1" vertical="top" wrapText="1"/>
    </xf>
    <xf fontId="22" fillId="0" borderId="37" numFmtId="0" xfId="0" applyFont="1" applyBorder="1">
      <alignment horizontal="left" indent="1" vertical="top" wrapText="1"/>
    </xf>
    <xf fontId="22" fillId="0" borderId="29" numFmtId="0" xfId="0" applyFont="1" applyBorder="1">
      <alignment horizontal="left" indent="1" vertical="center" wrapText="1"/>
    </xf>
    <xf fontId="22" fillId="0" borderId="23" numFmtId="0" xfId="0" applyFont="1" applyBorder="1">
      <alignment horizontal="left" indent="1" vertical="center" wrapText="1"/>
    </xf>
    <xf fontId="22" fillId="0" borderId="30" numFmtId="0" xfId="0" applyFont="1" applyBorder="1">
      <alignment horizontal="left" indent="1" vertical="center" wrapText="1"/>
    </xf>
    <xf fontId="0" fillId="0" borderId="12" numFmtId="0" xfId="0" applyFont="1" applyBorder="1">
      <alignment horizontal="left" vertical="center" wrapText="1"/>
    </xf>
    <xf fontId="0" fillId="0" borderId="12" numFmtId="0" xfId="0" applyFont="1" applyBorder="1">
      <alignment horizontal="left" vertical="center" wrapText="1"/>
    </xf>
    <xf fontId="38" fillId="35" borderId="24" numFmtId="0" xfId="0" applyFont="1" applyFill="1" applyBorder="1">
      <alignment horizontal="center" vertical="top" wrapText="1"/>
    </xf>
    <xf fontId="0" fillId="35" borderId="23" numFmtId="49" xfId="0" applyNumberFormat="1" applyFont="1" applyFill="1" applyBorder="1">
      <alignment horizontal="center" vertical="center" wrapText="1"/>
    </xf>
    <xf fontId="0" fillId="34" borderId="23" numFmtId="0" xfId="0" applyFont="1" applyFill="1" applyBorder="1">
      <alignment horizontal="left" indent="1" vertical="center" wrapText="1"/>
    </xf>
    <xf fontId="22" fillId="0" borderId="15" numFmtId="0" xfId="0" applyFont="1" applyBorder="1">
      <alignment horizontal="left" indent="1" vertical="top" wrapText="1"/>
    </xf>
    <xf fontId="38" fillId="35" borderId="0" numFmtId="0" xfId="0" applyFont="1" applyFill="1">
      <alignment horizontal="center" vertical="top" wrapText="1"/>
    </xf>
    <xf fontId="35" fillId="35" borderId="19" numFmtId="49" xfId="0" applyNumberFormat="1" applyFont="1" applyFill="1" applyBorder="1">
      <alignment horizontal="center" vertical="center" wrapText="1"/>
    </xf>
    <xf fontId="0" fillId="0" borderId="17" numFmtId="0" xfId="0" applyFont="1" applyBorder="1">
      <alignment horizontal="left" vertical="center" wrapText="1"/>
    </xf>
    <xf fontId="0" fillId="0" borderId="17" numFmtId="0" xfId="0" applyFont="1" applyBorder="1">
      <alignment horizontal="left" vertical="center" wrapText="1"/>
    </xf>
    <xf fontId="0" fillId="34" borderId="14" numFmtId="0" xfId="0" applyFont="1" applyFill="1" applyBorder="1">
      <alignment horizontal="left" indent="1" vertical="center" wrapText="1"/>
    </xf>
    <xf fontId="0" fillId="35" borderId="17" numFmtId="0" xfId="0" applyFont="1" applyFill="1" applyBorder="1">
      <alignment horizontal="left" vertical="top" wrapText="1"/>
    </xf>
    <xf fontId="0" fillId="35" borderId="36" numFmtId="0" xfId="0" applyFont="1" applyFill="1" applyBorder="1">
      <alignment horizontal="left" vertical="top" wrapText="1"/>
    </xf>
    <xf fontId="0" fillId="35" borderId="23" numFmtId="0" xfId="0" applyFont="1" applyFill="1" applyBorder="1">
      <alignment horizontal="left" vertical="top" wrapText="1"/>
    </xf>
    <xf fontId="22" fillId="0" borderId="17" numFmtId="4" xfId="0" applyNumberFormat="1" applyFont="1" applyBorder="1">
      <alignment horizontal="center" vertical="center" wrapText="1"/>
    </xf>
    <xf fontId="22" fillId="0" borderId="23" numFmtId="4" xfId="0" applyNumberFormat="1" applyFont="1" applyBorder="1">
      <alignment horizontal="center" vertical="center" wrapText="1"/>
    </xf>
    <xf fontId="22" fillId="0" borderId="36" numFmtId="4" xfId="0" applyNumberFormat="1" applyFont="1" applyBorder="1">
      <alignment horizontal="center" vertical="center" wrapText="1"/>
    </xf>
    <xf fontId="22" fillId="0" borderId="29" numFmtId="0" xfId="0" applyFont="1" applyBorder="1">
      <alignment horizontal="left" vertical="top" wrapText="1"/>
    </xf>
    <xf fontId="22" fillId="0" borderId="17" numFmtId="191" xfId="0" applyNumberFormat="1" applyFont="1" applyBorder="1">
      <alignment horizontal="center" vertical="center" wrapText="1"/>
    </xf>
    <xf fontId="22" fillId="0" borderId="23" numFmtId="191" xfId="0" applyNumberFormat="1" applyFont="1" applyBorder="1">
      <alignment horizontal="center" vertical="center" wrapText="1"/>
    </xf>
    <xf fontId="22" fillId="0" borderId="14" numFmtId="191" xfId="0" applyNumberFormat="1" applyFont="1" applyBorder="1">
      <alignment horizontal="center" vertical="center" wrapText="1"/>
    </xf>
    <xf fontId="22" fillId="0" borderId="15" numFmtId="191" xfId="0" applyNumberFormat="1" applyFont="1" applyBorder="1">
      <alignment horizontal="center" vertical="center" wrapText="1"/>
    </xf>
    <xf fontId="22" fillId="0" borderId="13" numFmtId="191" xfId="0" applyNumberFormat="1" applyFont="1" applyBorder="1">
      <alignment horizontal="center" vertical="center" wrapText="1"/>
    </xf>
    <xf fontId="22" fillId="40" borderId="12" numFmtId="14" xfId="0" applyNumberFormat="1" applyFont="1" applyFill="1" applyBorder="1">
      <alignment horizontal="left" vertical="center" wrapText="1"/>
    </xf>
    <xf fontId="22" fillId="40" borderId="14" numFmtId="49" xfId="0" applyNumberFormat="1" applyFont="1" applyFill="1" applyBorder="1">
      <alignment horizontal="left" vertical="center" wrapText="1"/>
    </xf>
    <xf fontId="22" fillId="40" borderId="12" numFmtId="49" xfId="0" applyNumberFormat="1" applyFont="1" applyFill="1" applyBorder="1">
      <alignment horizontal="left" vertical="center" wrapText="1"/>
    </xf>
    <xf fontId="22" fillId="34" borderId="29" numFmtId="0" xfId="0" applyFont="1" applyFill="1" applyBorder="1">
      <alignment horizontal="left" vertical="center" wrapText="1"/>
    </xf>
    <xf fontId="22" fillId="40" borderId="23" numFmtId="14" xfId="0" applyNumberFormat="1" applyFont="1" applyFill="1" applyBorder="1">
      <alignment horizontal="left" vertical="center" wrapText="1"/>
    </xf>
    <xf fontId="22" fillId="0" borderId="12" numFmtId="49" xfId="0" applyNumberFormat="1" applyFont="1" applyBorder="1">
      <alignment horizontal="left" vertical="top" wrapText="1"/>
    </xf>
    <xf fontId="127" fillId="0" borderId="12" numFmtId="49" xfId="0" applyNumberFormat="1" applyFont="1" applyBorder="1">
      <alignment horizontal="left" vertical="top" wrapText="1"/>
    </xf>
    <xf fontId="22" fillId="0" borderId="15" numFmtId="0" xfId="0" applyFont="1" applyBorder="1">
      <alignment horizontal="left" vertical="center" wrapText="1"/>
    </xf>
    <xf fontId="22" fillId="0" borderId="36" numFmtId="191" xfId="0" applyNumberFormat="1" applyFont="1" applyBorder="1">
      <alignment horizontal="center" vertical="center" wrapText="1"/>
    </xf>
    <xf fontId="22" fillId="0" borderId="12" numFmtId="191" xfId="0" applyNumberFormat="1" applyFont="1" applyBorder="1">
      <alignment horizontal="center" vertical="center" wrapText="1"/>
    </xf>
    <xf fontId="44" fillId="0" borderId="19" numFmtId="191" xfId="0" applyNumberFormat="1" applyFont="1" applyBorder="1">
      <alignment horizontal="center" vertical="center" wrapText="1"/>
    </xf>
    <xf fontId="22" fillId="40" borderId="30" numFmtId="49" xfId="0" applyNumberFormat="1" applyFont="1" applyFill="1" applyBorder="1">
      <alignment horizontal="left" vertical="center" wrapText="1"/>
    </xf>
    <xf fontId="22" fillId="40" borderId="23" numFmtId="49" xfId="0" applyNumberFormat="1" applyFont="1" applyFill="1" applyBorder="1">
      <alignment horizontal="left" vertical="center" wrapText="1"/>
    </xf>
    <xf fontId="22" fillId="0" borderId="0" numFmtId="49" xfId="0" applyNumberFormat="1" applyFont="1">
      <alignment horizontal="left" vertical="top" wrapText="1"/>
    </xf>
    <xf fontId="22" fillId="0" borderId="13" numFmtId="0" xfId="0" applyFont="1" applyBorder="1">
      <alignment horizontal="left" indent="1" vertical="center" wrapText="1"/>
    </xf>
    <xf fontId="22" fillId="0" borderId="14" numFmtId="0" xfId="0" applyFont="1" applyBorder="1">
      <alignment horizontal="left" indent="1" vertical="center" wrapText="1"/>
    </xf>
    <xf fontId="22" fillId="0" borderId="0" numFmtId="49" xfId="0" applyNumberFormat="1" applyFont="1">
      <alignment horizontal="left" vertical="top" wrapText="1"/>
    </xf>
    <xf fontId="0" fillId="0" borderId="15" numFmtId="49" xfId="0" applyNumberFormat="1" applyFont="1" applyBorder="1">
      <alignment horizontal="left" indent="1" vertical="center"/>
    </xf>
    <xf fontId="22" fillId="36" borderId="12" numFmtId="49" xfId="0" applyNumberFormat="1" applyFont="1" applyFill="1" applyBorder="1">
      <alignment horizontal="left" vertical="center" wrapText="1"/>
      <protection locked="0"/>
    </xf>
    <xf fontId="0" fillId="39" borderId="12" numFmtId="49" xfId="0" applyNumberFormat="1" applyFont="1" applyFill="1" applyBorder="1">
      <alignment horizontal="left" vertical="center" wrapText="1"/>
      <protection locked="0"/>
    </xf>
    <xf fontId="0" fillId="0" borderId="12" numFmtId="49" xfId="0" applyNumberFormat="1" applyFont="1" applyBorder="1">
      <alignment vertical="top"/>
    </xf>
    <xf fontId="0" fillId="40" borderId="12" numFmtId="0" xfId="0" applyFont="1" applyFill="1" applyBorder="1">
      <alignment horizontal="left" vertical="center" wrapText="1"/>
    </xf>
    <xf fontId="0" fillId="40" borderId="12" numFmtId="49" xfId="0" applyNumberFormat="1" applyFont="1" applyFill="1" applyBorder="1">
      <alignment horizontal="left" vertical="center" wrapText="1"/>
    </xf>
    <xf fontId="22" fillId="39" borderId="12" numFmtId="3" xfId="0" applyNumberFormat="1" applyFont="1" applyFill="1" applyBorder="1">
      <alignment horizontal="center" vertical="center" wrapText="1"/>
      <protection locked="0"/>
    </xf>
    <xf fontId="22" fillId="40" borderId="14" numFmtId="49" xfId="0" applyNumberFormat="1" applyFont="1" applyFill="1" applyBorder="1">
      <alignment horizontal="center" vertical="center" wrapText="1"/>
    </xf>
    <xf fontId="123" fillId="0" borderId="12" numFmtId="49" xfId="0" applyNumberFormat="1" applyFont="1" applyBorder="1">
      <alignment horizontal="center" vertical="center" wrapText="1"/>
    </xf>
    <xf fontId="44" fillId="0" borderId="13" numFmtId="0" xfId="0" applyFont="1" applyBorder="1">
      <alignment horizontal="center" vertical="center"/>
    </xf>
    <xf fontId="22" fillId="40" borderId="17" numFmtId="49" xfId="0" applyNumberFormat="1" applyFont="1" applyFill="1" applyBorder="1">
      <alignment horizontal="left" indent="1" vertical="center" wrapText="1"/>
    </xf>
    <xf fontId="22" fillId="40" borderId="36" numFmtId="49" xfId="0" applyNumberFormat="1" applyFont="1" applyFill="1" applyBorder="1">
      <alignment horizontal="left" indent="1" vertical="center" wrapText="1"/>
    </xf>
    <xf fontId="22" fillId="40" borderId="23" numFmtId="49" xfId="0" applyNumberFormat="1" applyFont="1" applyFill="1" applyBorder="1">
      <alignment horizontal="left" indent="1" vertical="center" wrapText="1"/>
    </xf>
    <xf fontId="22" fillId="0" borderId="12" numFmtId="49" xfId="0" applyNumberFormat="1" applyFont="1" applyBorder="1">
      <alignment horizontal="left" vertical="center" wrapText="1"/>
    </xf>
    <xf fontId="22" fillId="34" borderId="12" numFmtId="49" xfId="0" applyNumberFormat="1" applyFont="1" applyFill="1" applyBorder="1">
      <alignment horizontal="left" vertical="center" wrapText="1"/>
    </xf>
    <xf fontId="22" fillId="0" borderId="13" numFmtId="49" xfId="0" applyNumberFormat="1" applyFont="1" applyBorder="1">
      <alignment horizontal="center" vertical="center" wrapText="1"/>
    </xf>
    <xf fontId="22" fillId="40" borderId="13" numFmtId="49" xfId="0" applyNumberFormat="1" applyFont="1" applyFill="1" applyBorder="1">
      <alignment horizontal="left" vertical="center" wrapText="1"/>
    </xf>
    <xf fontId="22" fillId="39" borderId="12" numFmtId="49" xfId="0" applyNumberFormat="1" applyFont="1" applyFill="1" applyBorder="1">
      <alignment horizontal="left" vertical="center" wrapText="1"/>
      <protection locked="0"/>
    </xf>
    <xf fontId="39" fillId="37" borderId="15" numFmtId="0" xfId="0" applyFont="1" applyFill="1" applyBorder="1">
      <alignment horizontal="left" vertical="center"/>
    </xf>
    <xf fontId="39" fillId="37" borderId="13" numFmtId="0" xfId="0" applyFont="1" applyFill="1" applyBorder="1">
      <alignment horizontal="left" vertical="center"/>
    </xf>
    <xf fontId="39" fillId="37" borderId="19" numFmtId="0" xfId="0" applyFont="1" applyFill="1" applyBorder="1">
      <alignment horizontal="left" vertical="center"/>
    </xf>
    <xf fontId="39" fillId="37" borderId="20" numFmtId="0" xfId="0" applyFont="1" applyFill="1" applyBorder="1">
      <alignment horizontal="left" vertical="center"/>
    </xf>
    <xf fontId="22" fillId="39" borderId="17" numFmtId="49" xfId="0" applyNumberFormat="1" applyFont="1" applyFill="1" applyBorder="1">
      <alignment horizontal="left" vertical="center" wrapText="1"/>
      <protection locked="0"/>
    </xf>
    <xf fontId="22" fillId="0" borderId="36" numFmtId="49" xfId="0" applyNumberFormat="1" applyFont="1" applyBorder="1">
      <alignment horizontal="center" vertical="center"/>
    </xf>
    <xf fontId="22" fillId="40" borderId="17" numFmtId="0" xfId="0" applyFont="1" applyFill="1" applyBorder="1">
      <alignment horizontal="left" vertical="center" wrapText="1"/>
    </xf>
    <xf fontId="22" fillId="40" borderId="36" numFmtId="0" xfId="0" applyFont="1" applyFill="1" applyBorder="1">
      <alignment horizontal="left" vertical="center" wrapText="1"/>
    </xf>
    <xf fontId="22" fillId="40" borderId="17" numFmtId="49" xfId="0" applyNumberFormat="1" applyFont="1" applyFill="1" applyBorder="1">
      <alignment horizontal="left" vertical="center" wrapText="1"/>
    </xf>
    <xf fontId="22" fillId="0" borderId="24" numFmtId="0" xfId="0" applyFont="1" applyBorder="1">
      <alignment horizontal="center" vertical="center"/>
    </xf>
    <xf fontId="22" fillId="36" borderId="17" numFmtId="49" xfId="0" applyNumberFormat="1" applyFont="1" applyFill="1" applyBorder="1">
      <alignment horizontal="left" vertical="center" wrapText="1"/>
      <protection locked="0"/>
    </xf>
    <xf fontId="0" fillId="0" borderId="12" numFmtId="0" xfId="0" applyFont="1" applyBorder="1">
      <alignment horizontal="center" vertical="center"/>
    </xf>
    <xf fontId="0" fillId="0" borderId="12" numFmtId="49" xfId="0" applyNumberFormat="1" applyFont="1" applyBorder="1">
      <alignment horizontal="left" vertical="top"/>
    </xf>
    <xf fontId="22" fillId="40" borderId="12" numFmtId="0" xfId="0" applyFont="1" applyFill="1" applyBorder="1">
      <alignment horizontal="left" vertical="top" wrapText="1"/>
    </xf>
    <xf fontId="0" fillId="40" borderId="12" numFmtId="49" xfId="0" applyNumberFormat="1" applyFont="1" applyFill="1" applyBorder="1">
      <alignment horizontal="left" vertical="top"/>
    </xf>
    <xf fontId="0" fillId="36" borderId="12" numFmtId="49" xfId="0" applyNumberFormat="1" applyFont="1" applyFill="1" applyBorder="1">
      <alignment horizontal="left" vertical="top"/>
      <protection locked="0"/>
    </xf>
    <xf fontId="46" fillId="0" borderId="14" numFmtId="49" xfId="0" applyNumberFormat="1" applyFont="1" applyBorder="1">
      <alignment horizontal="center" vertical="center" wrapText="1"/>
    </xf>
    <xf fontId="39" fillId="37" borderId="51" numFmtId="49" xfId="0" applyNumberFormat="1" applyFont="1" applyFill="1" applyBorder="1">
      <alignment horizontal="left" indent="1" vertical="center"/>
    </xf>
    <xf fontId="22" fillId="34" borderId="12" numFmtId="49" xfId="0" applyNumberFormat="1" applyFont="1" applyFill="1" applyBorder="1">
      <alignment horizontal="center" vertical="center" wrapText="1"/>
    </xf>
    <xf fontId="22" fillId="34" borderId="74" numFmtId="49" xfId="0" applyNumberFormat="1" applyFont="1" applyFill="1" applyBorder="1">
      <alignment horizontal="center" vertical="center" wrapText="1"/>
    </xf>
    <xf fontId="46" fillId="0" borderId="12" numFmtId="3" xfId="0" applyNumberFormat="1" applyFont="1" applyBorder="1">
      <alignment horizontal="center" vertical="center" wrapText="1"/>
    </xf>
    <xf fontId="46" fillId="0" borderId="12" numFmtId="49" xfId="0" applyNumberFormat="1" applyFont="1" applyBorder="1">
      <alignment horizontal="left" vertical="center" wrapText="1"/>
    </xf>
    <xf fontId="46" fillId="0" borderId="13" numFmtId="49" xfId="0" applyNumberFormat="1" applyFont="1" applyBorder="1">
      <alignment horizontal="center" vertical="center" wrapText="1"/>
    </xf>
    <xf fontId="46" fillId="0" borderId="13" numFmtId="49" xfId="0" applyNumberFormat="1" applyFont="1" applyBorder="1">
      <alignment horizontal="left" vertical="center" wrapText="1"/>
    </xf>
    <xf fontId="46" fillId="0" borderId="12" numFmtId="49" xfId="0" applyNumberFormat="1" applyFont="1" applyBorder="1">
      <alignment horizontal="left" vertical="center" wrapText="1"/>
    </xf>
    <xf fontId="125" fillId="0" borderId="13" numFmtId="49" xfId="0" applyNumberFormat="1" applyFont="1" applyBorder="1">
      <alignment horizontal="center" vertical="center" wrapText="1"/>
    </xf>
    <xf fontId="94" fillId="0" borderId="12" numFmtId="0" xfId="0" applyFont="1" applyBorder="1">
      <alignment horizontal="center" vertical="center"/>
    </xf>
    <xf fontId="22" fillId="40" borderId="12" numFmtId="49" xfId="0" applyNumberFormat="1" applyFont="1" applyFill="1" applyBorder="1">
      <alignment horizontal="center" vertical="top" wrapText="1"/>
    </xf>
    <xf fontId="22" fillId="40" borderId="14" numFmtId="49" xfId="0" applyNumberFormat="1" applyFont="1" applyFill="1" applyBorder="1">
      <alignment horizontal="center" vertical="top" wrapText="1"/>
    </xf>
    <xf fontId="22" fillId="36" borderId="12" numFmtId="0" xfId="0" applyFont="1" applyFill="1" applyBorder="1">
      <alignment horizontal="left" vertical="top" wrapText="1"/>
      <protection locked="0"/>
    </xf>
    <xf fontId="0" fillId="36" borderId="12" numFmtId="190" xfId="0" applyNumberFormat="1" applyFont="1" applyFill="1" applyBorder="1">
      <alignment horizontal="center" vertical="top" wrapText="1"/>
      <protection locked="0"/>
    </xf>
    <xf fontId="0" fillId="36" borderId="12" numFmtId="49" xfId="0" applyNumberFormat="1" applyFont="1" applyFill="1" applyBorder="1">
      <alignment horizontal="center" vertical="top" wrapText="1"/>
      <protection locked="0"/>
    </xf>
    <xf fontId="22" fillId="39" borderId="12" numFmtId="49" xfId="0" applyNumberFormat="1" applyFont="1" applyFill="1" applyBorder="1">
      <alignment horizontal="left" vertical="top" wrapText="1"/>
      <protection locked="0"/>
    </xf>
    <xf fontId="0" fillId="34" borderId="12" numFmtId="49" xfId="0" applyNumberFormat="1" applyFont="1" applyFill="1" applyBorder="1">
      <alignment horizontal="center" vertical="top" wrapText="1"/>
    </xf>
    <xf fontId="22" fillId="34" borderId="12" numFmtId="0" xfId="0" applyFont="1" applyFill="1" applyBorder="1">
      <alignment horizontal="center" vertical="top" wrapText="1"/>
    </xf>
    <xf fontId="0" fillId="0" borderId="12" numFmtId="0" xfId="0" applyFont="1" applyBorder="1">
      <alignment horizontal="center" vertical="center"/>
    </xf>
    <xf fontId="0" fillId="0" borderId="37" numFmtId="0" xfId="0" applyFont="1" applyBorder="1">
      <alignment horizontal="center" vertical="center"/>
    </xf>
    <xf fontId="0" fillId="0" borderId="22" numFmtId="0" xfId="0" applyFont="1" applyBorder="1">
      <alignment horizontal="center" vertical="center"/>
    </xf>
    <xf fontId="0" fillId="0" borderId="0" numFmtId="49" xfId="0" applyNumberFormat="1" applyFont="1">
      <alignment horizontal="left" vertical="top"/>
    </xf>
    <xf fontId="81" fillId="0" borderId="17" numFmtId="14" xfId="0" applyNumberFormat="1" applyFont="1" applyBorder="1">
      <alignment horizontal="center" vertical="center" wrapText="1"/>
    </xf>
    <xf fontId="81" fillId="0" borderId="36" numFmtId="14" xfId="0" applyNumberFormat="1" applyFont="1" applyBorder="1">
      <alignment horizontal="center" vertical="center" wrapText="1"/>
    </xf>
    <xf fontId="75" fillId="0" borderId="12" numFmtId="0" xfId="0" applyFont="1" applyBorder="1">
      <alignment horizontal="left" indent="1" vertical="center" wrapText="1"/>
    </xf>
    <xf fontId="75" fillId="0" borderId="12" numFmtId="0" xfId="0" applyFont="1" applyBorder="1">
      <alignment horizontal="left" indent="1" vertical="top"/>
    </xf>
    <xf fontId="35" fillId="0" borderId="12" numFmtId="0" xfId="0" applyFont="1" applyBorder="1">
      <alignment horizontal="center" vertical="center" wrapText="1"/>
    </xf>
    <xf fontId="22" fillId="40" borderId="12" numFmtId="0" xfId="0" applyFont="1" applyFill="1" applyBorder="1">
      <alignment horizontal="left" indent="1" vertical="center" wrapText="1"/>
    </xf>
    <xf fontId="0" fillId="0" borderId="19" numFmtId="49" xfId="0" applyNumberFormat="1" applyFont="1" applyBorder="1">
      <alignment horizontal="left" vertical="center" wrapText="1"/>
    </xf>
    <xf fontId="0" fillId="0" borderId="0" numFmtId="49" xfId="0" applyNumberFormat="1" applyFont="1">
      <alignment horizontal="left" vertical="center" wrapText="1"/>
    </xf>
    <xf fontId="0" fillId="0" borderId="19" numFmtId="0" xfId="0" applyFont="1" applyBorder="1">
      <alignment horizontal="left" vertical="center" wrapText="1"/>
    </xf>
    <xf fontId="0" fillId="0" borderId="0" numFmtId="0" xfId="0" applyFont="1">
      <alignment horizontal="left" vertical="center" wrapText="1"/>
    </xf>
    <xf fontId="0" fillId="0" borderId="19" numFmtId="0" xfId="0" applyFont="1" applyBorder="1">
      <alignment horizontal="center" vertical="center"/>
    </xf>
    <xf fontId="0" fillId="0" borderId="0" numFmtId="0" xfId="0" applyFont="1">
      <alignment horizontal="center" vertical="center"/>
    </xf>
    <xf fontId="0" fillId="39" borderId="12" numFmtId="0" xfId="0" applyFont="1" applyFill="1" applyBorder="1">
      <alignment horizontal="left" vertical="center" wrapText="1"/>
      <protection locked="0"/>
    </xf>
    <xf fontId="0" fillId="39" borderId="14" numFmtId="49" xfId="0" applyNumberFormat="1" applyFont="1" applyFill="1" applyBorder="1">
      <alignment horizontal="left" vertical="center" wrapText="1"/>
      <protection locked="0"/>
    </xf>
    <xf fontId="0" fillId="39" borderId="12" numFmtId="49" xfId="0" applyNumberFormat="1" applyFont="1" applyFill="1" applyBorder="1">
      <alignment horizontal="left" vertical="center" wrapText="1"/>
      <protection locked="0"/>
    </xf>
    <xf fontId="36" fillId="0" borderId="17" numFmtId="49" xfId="0" applyNumberFormat="1" applyFont="1" applyBorder="1">
      <alignment horizontal="center" vertical="top" wrapText="1"/>
    </xf>
    <xf fontId="22" fillId="0" borderId="36" numFmtId="49" xfId="0" applyNumberFormat="1" applyFont="1" applyBorder="1">
      <alignment horizontal="center" vertical="top" wrapText="1"/>
    </xf>
    <xf fontId="22" fillId="0" borderId="23" numFmtId="49" xfId="0" applyNumberFormat="1" applyFont="1" applyBorder="1">
      <alignment horizontal="center" vertical="top" wrapText="1"/>
    </xf>
    <xf fontId="22" fillId="39" borderId="14" numFmtId="49" xfId="0" applyNumberFormat="1" applyFont="1" applyFill="1" applyBorder="1">
      <alignment horizontal="left" indent="1" vertical="center" wrapText="1"/>
      <protection locked="0"/>
    </xf>
    <xf fontId="22" fillId="39" borderId="12" numFmtId="49" xfId="0" applyNumberFormat="1" applyFont="1" applyFill="1" applyBorder="1">
      <alignment horizontal="left" indent="1" vertical="center" wrapText="1"/>
      <protection locked="0"/>
    </xf>
    <xf fontId="0" fillId="0" borderId="12" numFmtId="0" xfId="0" applyFont="1" applyBorder="1">
      <alignment horizontal="center" vertical="center" wrapText="1"/>
    </xf>
    <xf fontId="22" fillId="0" borderId="17" numFmtId="49" xfId="0" applyNumberFormat="1" applyFont="1" applyBorder="1">
      <alignment horizontal="center" vertical="center" wrapText="1"/>
    </xf>
    <xf fontId="22" fillId="0" borderId="36" numFmtId="49" xfId="0" applyNumberFormat="1" applyFont="1" applyBorder="1">
      <alignment horizontal="center" vertical="center" wrapText="1"/>
    </xf>
    <xf fontId="22" fillId="0" borderId="23" numFmtId="49" xfId="0" applyNumberFormat="1" applyFont="1" applyBorder="1">
      <alignment horizontal="center" vertical="center" wrapText="1"/>
    </xf>
    <xf fontId="22" fillId="0" borderId="12" numFmtId="49" xfId="0" applyNumberFormat="1" applyFont="1" applyBorder="1">
      <alignment horizontal="center" vertical="top" wrapText="1"/>
    </xf>
    <xf fontId="0" fillId="34" borderId="12" numFmtId="0" xfId="0" applyFont="1" applyFill="1" applyBorder="1">
      <alignment horizontal="left" indent="1" vertical="top" wrapText="1"/>
    </xf>
    <xf fontId="22" fillId="40" borderId="17" numFmtId="49" xfId="0" applyNumberFormat="1" applyFont="1" applyFill="1" applyBorder="1">
      <alignment horizontal="center" vertical="top" wrapText="1"/>
    </xf>
    <xf fontId="22" fillId="40" borderId="23" numFmtId="49" xfId="0" applyNumberFormat="1" applyFont="1" applyFill="1" applyBorder="1">
      <alignment horizontal="center" vertical="top" wrapText="1"/>
    </xf>
    <xf fontId="0" fillId="39" borderId="12" numFmtId="190" xfId="0" applyNumberFormat="1" applyFont="1" applyFill="1" applyBorder="1">
      <alignment horizontal="center" vertical="top" wrapText="1"/>
      <protection locked="0"/>
    </xf>
    <xf fontId="0" fillId="39" borderId="12" numFmtId="49" xfId="0" applyNumberFormat="1" applyFont="1" applyFill="1" applyBorder="1">
      <alignment horizontal="center" vertical="top" wrapText="1"/>
      <protection locked="0"/>
    </xf>
    <xf fontId="22" fillId="40" borderId="12" numFmtId="49" xfId="0" applyNumberFormat="1" applyFont="1" applyFill="1" applyBorder="1">
      <alignment horizontal="left" vertical="top" wrapText="1"/>
    </xf>
    <xf fontId="46" fillId="0" borderId="17" numFmtId="49" xfId="0" applyNumberFormat="1" applyFont="1" applyBorder="1">
      <alignment horizontal="left" indent="1" vertical="center" wrapText="1"/>
    </xf>
    <xf fontId="46" fillId="0" borderId="36" numFmtId="49" xfId="0" applyNumberFormat="1" applyFont="1" applyBorder="1">
      <alignment horizontal="left" indent="1" vertical="center" wrapText="1"/>
    </xf>
    <xf fontId="46" fillId="0" borderId="23" numFmtId="49" xfId="0" applyNumberFormat="1" applyFont="1" applyBorder="1">
      <alignment horizontal="left" indent="1" vertical="center" wrapText="1"/>
    </xf>
    <xf fontId="44" fillId="0" borderId="12" numFmtId="0" xfId="0" applyFont="1" applyBorder="1">
      <alignment horizontal="center" vertical="center"/>
    </xf>
    <xf fontId="95" fillId="0" borderId="12" numFmtId="49" xfId="0" applyNumberFormat="1" applyFont="1" applyBorder="1">
      <alignment horizontal="center" vertical="top" wrapText="1"/>
    </xf>
    <xf fontId="95" fillId="41" borderId="12" numFmtId="0" xfId="0" applyFont="1" applyFill="1" applyBorder="1">
      <alignment horizontal="center" vertical="center" wrapText="1"/>
    </xf>
    <xf fontId="95" fillId="0" borderId="37" numFmtId="49" xfId="0" applyNumberFormat="1" applyFont="1" applyBorder="1">
      <alignment horizontal="center" vertical="top" wrapText="1"/>
    </xf>
    <xf fontId="95" fillId="0" borderId="30" numFmtId="49" xfId="0" applyNumberFormat="1" applyFont="1" applyBorder="1">
      <alignment horizontal="center" vertical="top" wrapText="1"/>
    </xf>
    <xf fontId="95" fillId="0" borderId="14" numFmtId="49" xfId="0" applyNumberFormat="1" applyFont="1" applyBorder="1">
      <alignment horizontal="center" vertical="top" wrapText="1"/>
    </xf>
    <xf fontId="95" fillId="0" borderId="15" numFmtId="49" xfId="0" applyNumberFormat="1" applyFont="1" applyBorder="1">
      <alignment horizontal="center" vertical="top" wrapText="1"/>
    </xf>
    <xf fontId="95" fillId="0" borderId="13" numFmtId="49" xfId="0" applyNumberFormat="1" applyFont="1" applyBorder="1">
      <alignment horizontal="center" vertical="top" wrapText="1"/>
    </xf>
    <xf fontId="95" fillId="0" borderId="17" numFmtId="49" xfId="0" applyNumberFormat="1" applyFont="1" applyBorder="1">
      <alignment horizontal="center" vertical="top" wrapText="1"/>
    </xf>
    <xf fontId="95" fillId="0" borderId="36" numFmtId="49" xfId="0" applyNumberFormat="1" applyFont="1" applyBorder="1">
      <alignment horizontal="center" vertical="top" wrapText="1"/>
    </xf>
    <xf fontId="95" fillId="0" borderId="23" numFmtId="49" xfId="0" applyNumberFormat="1" applyFont="1" applyBorder="1">
      <alignment horizontal="center" vertical="top" wrapText="1"/>
    </xf>
    <xf fontId="0" fillId="39" borderId="12" numFmtId="190" xfId="0" applyNumberFormat="1" applyFont="1" applyFill="1" applyBorder="1">
      <alignment horizontal="center" vertical="center" wrapText="1"/>
      <protection locked="0"/>
    </xf>
    <xf fontId="45" fillId="0" borderId="19" numFmtId="0" xfId="0" applyFont="1" applyBorder="1">
      <alignment horizontal="left" indent="1" vertical="center" wrapText="1"/>
    </xf>
    <xf fontId="45" fillId="0" borderId="27" numFmtId="0" xfId="0" applyFont="1" applyBorder="1">
      <alignment horizontal="left" indent="1" vertical="center" wrapText="1"/>
    </xf>
    <xf fontId="22" fillId="0" borderId="0" numFmtId="0" xfId="0" applyFont="1">
      <alignment horizontal="right" vertical="center" wrapText="1"/>
    </xf>
    <xf fontId="22" fillId="34" borderId="12" numFmtId="4" xfId="0" applyNumberFormat="1" applyFont="1" applyFill="1" applyBorder="1">
      <alignment horizontal="left" vertical="center" wrapText="1"/>
    </xf>
    <xf fontId="46" fillId="0" borderId="0" numFmtId="0" xfId="0" applyFont="1">
      <alignment horizontal="center" vertical="center" wrapText="1"/>
    </xf>
    <xf fontId="0" fillId="0" borderId="12" numFmtId="49" xfId="0" applyNumberFormat="1" applyFont="1" applyBorder="1">
      <alignment horizontal="center" vertical="top"/>
    </xf>
    <xf fontId="0" fillId="0" borderId="14" numFmtId="49" xfId="0" applyNumberFormat="1" applyFont="1" applyBorder="1">
      <alignment horizontal="center" vertical="top"/>
    </xf>
    <xf fontId="46" fillId="0" borderId="17" numFmtId="0" xfId="0" applyFont="1" applyBorder="1">
      <alignment horizontal="center" vertical="center" wrapText="1"/>
    </xf>
    <xf fontId="22" fillId="0" borderId="19" numFmtId="0" xfId="0" applyFont="1" applyBorder="1">
      <alignment horizontal="center" vertical="center" wrapText="1"/>
    </xf>
    <xf fontId="22" fillId="0" borderId="27" numFmtId="0" xfId="0" applyFont="1" applyBorder="1">
      <alignment horizontal="center" vertical="center" wrapText="1"/>
    </xf>
    <xf fontId="0" fillId="0" borderId="15" numFmtId="49" xfId="0" applyNumberFormat="1" applyFont="1" applyBorder="1">
      <alignment horizontal="left" indent="1" vertical="center"/>
    </xf>
    <xf fontId="0" fillId="0" borderId="25" numFmtId="49" xfId="0" applyNumberFormat="1" applyFont="1" applyBorder="1">
      <alignment horizontal="center" vertical="center"/>
    </xf>
    <xf fontId="0" fillId="0" borderId="12" numFmtId="49" xfId="61" applyNumberFormat="1" applyFont="1" applyBorder="1">
      <alignment vertical="top"/>
    </xf>
    <xf fontId="0" fillId="0" borderId="14" numFmtId="49" xfId="61" applyNumberFormat="1" applyFont="1" applyBorder="1">
      <alignment vertical="top"/>
    </xf>
    <xf fontId="0" fillId="0" borderId="12" numFmtId="49" xfId="61" applyNumberFormat="1" applyFont="1" applyBorder="1">
      <alignment horizontal="center" vertical="top"/>
    </xf>
    <xf fontId="0" fillId="0" borderId="14" numFmtId="49" xfId="61" applyNumberFormat="1" applyFont="1" applyBorder="1">
      <alignment horizontal="center" vertical="top"/>
    </xf>
    <xf fontId="0" fillId="43" borderId="17" numFmtId="49" xfId="61" applyNumberFormat="1" applyFont="1" applyFill="1" applyBorder="1">
      <alignment vertical="top"/>
    </xf>
    <xf fontId="0" fillId="44" borderId="12" numFmtId="49" xfId="61" applyNumberFormat="1" applyFont="1" applyFill="1" applyBorder="1">
      <alignment vertical="top"/>
    </xf>
    <xf fontId="0" fillId="0" borderId="15" numFmtId="49" xfId="61" applyNumberFormat="1" applyFont="1" applyBorder="1">
      <alignment horizontal="center" vertical="top"/>
    </xf>
    <xf fontId="0" fillId="3" borderId="12" numFmtId="49" xfId="61" applyNumberFormat="1" applyFont="1" applyFill="1" applyBorder="1">
      <alignment vertical="top"/>
    </xf>
    <xf fontId="0" fillId="45" borderId="12" numFmtId="49" xfId="61" applyNumberFormat="1" applyFont="1" applyFill="1" applyBorder="1">
      <alignment vertical="top"/>
    </xf>
    <xf fontId="0" fillId="16" borderId="17" numFmtId="49" xfId="61" applyNumberFormat="1" applyFont="1" applyFill="1" applyBorder="1">
      <alignment vertical="top"/>
    </xf>
    <xf fontId="0" fillId="5" borderId="14" numFmtId="49" xfId="61" applyNumberFormat="1" applyFont="1" applyFill="1" applyBorder="1">
      <alignment vertical="top"/>
    </xf>
    <xf fontId="0" fillId="5" borderId="12" numFmtId="49" xfId="61" applyNumberFormat="1" applyFont="1" applyFill="1" applyBorder="1">
      <alignment vertical="top"/>
    </xf>
    <xf fontId="0" fillId="16" borderId="12" numFmtId="49" xfId="61" applyNumberFormat="1" applyFont="1" applyFill="1" applyBorder="1">
      <alignment vertical="top"/>
    </xf>
    <xf fontId="29" fillId="0" borderId="0" numFmtId="0" xfId="0" applyFont="1"/>
    <xf fontId="22" fillId="35" borderId="17" numFmtId="0" xfId="0" applyFont="1" applyFill="1" applyBorder="1">
      <alignment horizontal="left" indent="1" vertical="center" wrapText="1"/>
    </xf>
    <xf fontId="22" fillId="35" borderId="23" numFmtId="0" xfId="0" applyFont="1" applyFill="1" applyBorder="1">
      <alignment horizontal="left" indent="1" vertical="center" wrapText="1"/>
    </xf>
    <xf fontId="46" fillId="37" borderId="13" numFmtId="0" xfId="0" applyFont="1" applyFill="1" applyBorder="1">
      <alignment vertical="center" wrapText="1"/>
    </xf>
    <xf fontId="46" fillId="37" borderId="13" numFmtId="0" xfId="0" applyFont="1" applyFill="1" applyBorder="1">
      <alignment vertical="center" wrapText="1"/>
    </xf>
    <xf fontId="46" fillId="37" borderId="13" numFmtId="0" xfId="0" applyFont="1" applyFill="1" applyBorder="1">
      <alignment vertical="center" wrapText="1"/>
    </xf>
    <xf fontId="46" fillId="37" borderId="15" numFmtId="0" xfId="0" applyFont="1" applyFill="1" applyBorder="1">
      <alignment vertical="center" wrapText="1"/>
    </xf>
    <xf fontId="46" fillId="37" borderId="13" numFmtId="0" xfId="0" applyFont="1" applyFill="1" applyBorder="1">
      <alignment vertical="center" wrapText="1"/>
    </xf>
    <xf fontId="46" fillId="37" borderId="13" numFmtId="0" xfId="0" applyFont="1" applyFill="1" applyBorder="1">
      <alignment vertical="center" wrapText="1"/>
    </xf>
    <xf fontId="22" fillId="37" borderId="15" numFmtId="0" xfId="0" applyFont="1" applyFill="1" applyBorder="1">
      <alignment vertical="center" wrapText="1"/>
    </xf>
    <xf fontId="22" fillId="37" borderId="19" numFmtId="0" xfId="0" applyFont="1" applyFill="1" applyBorder="1">
      <alignment vertical="center" wrapText="1"/>
    </xf>
    <xf fontId="22" fillId="37" borderId="27" numFmtId="0" xfId="0" applyFont="1" applyFill="1" applyBorder="1">
      <alignment vertical="center" wrapText="1"/>
    </xf>
    <xf fontId="22" fillId="36" borderId="14" numFmtId="49" xfId="0" applyNumberFormat="1" applyFont="1" applyFill="1" applyBorder="1">
      <alignment horizontal="left" vertical="center" wrapText="1"/>
      <protection locked="0"/>
    </xf>
    <xf fontId="22" fillId="37" borderId="15" numFmtId="0" xfId="0" applyFont="1" applyFill="1" applyBorder="1">
      <alignment vertical="center" wrapText="1"/>
    </xf>
    <xf fontId="29" fillId="0" borderId="0" numFmt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Relationships xmlns="http://schemas.openxmlformats.org/package/2006/relationships"><Relationship  Id="rId89" Type="http://schemas.openxmlformats.org/officeDocument/2006/relationships/worksheet" Target="worksheets/sheet89.xml"/><Relationship  Id="rId88" Type="http://schemas.openxmlformats.org/officeDocument/2006/relationships/worksheet" Target="worksheets/sheet88.xml"/><Relationship  Id="rId87" Type="http://schemas.openxmlformats.org/officeDocument/2006/relationships/worksheet" Target="worksheets/sheet87.xml"/><Relationship  Id="rId84" Type="http://schemas.openxmlformats.org/officeDocument/2006/relationships/worksheet" Target="worksheets/sheet84.xml"/><Relationship  Id="rId82" Type="http://schemas.openxmlformats.org/officeDocument/2006/relationships/worksheet" Target="worksheets/sheet82.xml"/><Relationship  Id="rId81" Type="http://schemas.openxmlformats.org/officeDocument/2006/relationships/worksheet" Target="worksheets/sheet81.xml"/><Relationship  Id="rId75" Type="http://schemas.openxmlformats.org/officeDocument/2006/relationships/worksheet" Target="worksheets/sheet75.xml"/><Relationship  Id="rId71" Type="http://schemas.openxmlformats.org/officeDocument/2006/relationships/worksheet" Target="worksheets/sheet71.xml"/><Relationship  Id="rId69" Type="http://schemas.openxmlformats.org/officeDocument/2006/relationships/worksheet" Target="worksheets/sheet69.xml"/><Relationship  Id="rId68" Type="http://schemas.openxmlformats.org/officeDocument/2006/relationships/worksheet" Target="worksheets/sheet68.xml"/><Relationship  Id="rId67" Type="http://schemas.openxmlformats.org/officeDocument/2006/relationships/worksheet" Target="worksheets/sheet67.xml"/><Relationship  Id="rId85" Type="http://schemas.openxmlformats.org/officeDocument/2006/relationships/worksheet" Target="worksheets/sheet85.xml"/><Relationship  Id="rId66" Type="http://schemas.openxmlformats.org/officeDocument/2006/relationships/worksheet" Target="worksheets/sheet66.xml"/><Relationship  Id="rId65" Type="http://schemas.openxmlformats.org/officeDocument/2006/relationships/worksheet" Target="worksheets/sheet65.xml"/><Relationship  Id="rId60" Type="http://schemas.openxmlformats.org/officeDocument/2006/relationships/worksheet" Target="worksheets/sheet60.xml"/><Relationship  Id="rId83" Type="http://schemas.openxmlformats.org/officeDocument/2006/relationships/worksheet" Target="worksheets/sheet83.xml"/><Relationship  Id="rId59" Type="http://schemas.openxmlformats.org/officeDocument/2006/relationships/worksheet" Target="worksheets/sheet59.xml"/><Relationship  Id="rId63" Type="http://schemas.openxmlformats.org/officeDocument/2006/relationships/worksheet" Target="worksheets/sheet63.xml"/><Relationship  Id="rId57" Type="http://schemas.openxmlformats.org/officeDocument/2006/relationships/worksheet" Target="worksheets/sheet57.xml"/><Relationship  Id="rId56" Type="http://schemas.openxmlformats.org/officeDocument/2006/relationships/worksheet" Target="worksheets/sheet56.xml"/><Relationship  Id="rId91" Type="http://schemas.openxmlformats.org/officeDocument/2006/relationships/sharedStrings" Target="sharedStrings.xml"/><Relationship  Id="rId51" Type="http://schemas.openxmlformats.org/officeDocument/2006/relationships/worksheet" Target="worksheets/sheet51.xml"/><Relationship  Id="rId48" Type="http://schemas.openxmlformats.org/officeDocument/2006/relationships/worksheet" Target="worksheets/sheet48.xml"/><Relationship  Id="rId55" Type="http://schemas.openxmlformats.org/officeDocument/2006/relationships/worksheet" Target="worksheets/sheet55.xml"/><Relationship  Id="rId78" Type="http://schemas.openxmlformats.org/officeDocument/2006/relationships/worksheet" Target="worksheets/sheet78.xml"/><Relationship  Id="rId47" Type="http://schemas.openxmlformats.org/officeDocument/2006/relationships/worksheet" Target="worksheets/sheet47.xml"/><Relationship  Id="rId45" Type="http://schemas.openxmlformats.org/officeDocument/2006/relationships/worksheet" Target="worksheets/sheet45.xml"/><Relationship  Id="rId64" Type="http://schemas.openxmlformats.org/officeDocument/2006/relationships/worksheet" Target="worksheets/sheet64.xml"/><Relationship  Id="rId44" Type="http://schemas.openxmlformats.org/officeDocument/2006/relationships/worksheet" Target="worksheets/sheet44.xml"/><Relationship  Id="rId74" Type="http://schemas.openxmlformats.org/officeDocument/2006/relationships/worksheet" Target="worksheets/sheet74.xml"/><Relationship  Id="rId70" Type="http://schemas.openxmlformats.org/officeDocument/2006/relationships/worksheet" Target="worksheets/sheet70.xml"/><Relationship  Id="rId62" Type="http://schemas.openxmlformats.org/officeDocument/2006/relationships/worksheet" Target="worksheets/sheet62.xml"/><Relationship  Id="rId43" Type="http://schemas.openxmlformats.org/officeDocument/2006/relationships/worksheet" Target="worksheets/sheet43.xml"/><Relationship  Id="rId49" Type="http://schemas.openxmlformats.org/officeDocument/2006/relationships/worksheet" Target="worksheets/sheet49.xml"/><Relationship  Id="rId42" Type="http://schemas.openxmlformats.org/officeDocument/2006/relationships/worksheet" Target="worksheets/sheet42.xml"/><Relationship  Id="rId90" Type="http://schemas.openxmlformats.org/officeDocument/2006/relationships/theme" Target="theme/theme1.xml"/><Relationship  Id="rId40" Type="http://schemas.openxmlformats.org/officeDocument/2006/relationships/worksheet" Target="worksheets/sheet40.xml"/><Relationship  Id="rId79" Type="http://schemas.openxmlformats.org/officeDocument/2006/relationships/worksheet" Target="worksheets/sheet79.xml"/><Relationship  Id="rId39" Type="http://schemas.openxmlformats.org/officeDocument/2006/relationships/worksheet" Target="worksheets/sheet39.xml"/><Relationship  Id="rId38" Type="http://schemas.openxmlformats.org/officeDocument/2006/relationships/worksheet" Target="worksheets/sheet38.xml"/><Relationship  Id="rId54" Type="http://schemas.openxmlformats.org/officeDocument/2006/relationships/worksheet" Target="worksheets/sheet54.xml"/><Relationship  Id="rId41" Type="http://schemas.openxmlformats.org/officeDocument/2006/relationships/worksheet" Target="worksheets/sheet41.xml"/><Relationship  Id="rId36" Type="http://schemas.openxmlformats.org/officeDocument/2006/relationships/worksheet" Target="worksheets/sheet36.xml"/><Relationship  Id="rId80" Type="http://schemas.openxmlformats.org/officeDocument/2006/relationships/worksheet" Target="worksheets/sheet80.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58" Type="http://schemas.openxmlformats.org/officeDocument/2006/relationships/worksheet" Target="worksheets/sheet58.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3" Type="http://schemas.openxmlformats.org/officeDocument/2006/relationships/worksheet" Target="worksheets/sheet23.xml"/><Relationship  Id="rId52" Type="http://schemas.openxmlformats.org/officeDocument/2006/relationships/worksheet" Target="worksheets/sheet52.xml"/><Relationship  Id="rId61" Type="http://schemas.openxmlformats.org/officeDocument/2006/relationships/worksheet" Target="worksheets/sheet61.xml"/><Relationship  Id="rId76" Type="http://schemas.openxmlformats.org/officeDocument/2006/relationships/worksheet" Target="worksheets/sheet76.xml"/><Relationship  Id="rId22" Type="http://schemas.openxmlformats.org/officeDocument/2006/relationships/worksheet" Target="worksheets/sheet22.xml"/><Relationship  Id="rId21" Type="http://schemas.openxmlformats.org/officeDocument/2006/relationships/worksheet" Target="worksheets/sheet21.xml"/><Relationship  Id="rId25" Type="http://schemas.openxmlformats.org/officeDocument/2006/relationships/worksheet" Target="worksheets/sheet25.xml"/><Relationship  Id="rId13" Type="http://schemas.openxmlformats.org/officeDocument/2006/relationships/worksheet" Target="worksheets/sheet13.xml"/><Relationship  Id="rId50" Type="http://schemas.openxmlformats.org/officeDocument/2006/relationships/worksheet" Target="worksheets/sheet50.xml"/><Relationship  Id="rId24" Type="http://schemas.openxmlformats.org/officeDocument/2006/relationships/worksheet" Target="worksheets/sheet24.xml"/><Relationship  Id="rId11" Type="http://schemas.openxmlformats.org/officeDocument/2006/relationships/worksheet" Target="worksheets/sheet11.xml"/><Relationship  Id="rId17" Type="http://schemas.openxmlformats.org/officeDocument/2006/relationships/worksheet" Target="worksheets/sheet17.xml"/><Relationship  Id="rId10" Type="http://schemas.openxmlformats.org/officeDocument/2006/relationships/worksheet" Target="worksheets/sheet10.xml"/><Relationship  Id="rId18" Type="http://schemas.openxmlformats.org/officeDocument/2006/relationships/worksheet" Target="worksheets/sheet18.xml"/><Relationship  Id="rId26" Type="http://schemas.openxmlformats.org/officeDocument/2006/relationships/worksheet" Target="worksheets/sheet26.xml"/><Relationship  Id="rId86" Type="http://schemas.openxmlformats.org/officeDocument/2006/relationships/worksheet" Target="worksheets/sheet86.xml"/><Relationship  Id="rId53" Type="http://schemas.openxmlformats.org/officeDocument/2006/relationships/worksheet" Target="worksheets/sheet53.xml"/><Relationship  Id="rId15" Type="http://schemas.openxmlformats.org/officeDocument/2006/relationships/worksheet" Target="worksheets/sheet15.xml"/><Relationship  Id="rId9" Type="http://schemas.openxmlformats.org/officeDocument/2006/relationships/worksheet" Target="worksheets/sheet9.xml"/><Relationship  Id="rId20" Type="http://schemas.openxmlformats.org/officeDocument/2006/relationships/worksheet" Target="worksheets/sheet20.xml"/><Relationship  Id="rId8" Type="http://schemas.openxmlformats.org/officeDocument/2006/relationships/worksheet" Target="worksheets/sheet8.xml"/><Relationship  Id="rId31" Type="http://schemas.openxmlformats.org/officeDocument/2006/relationships/worksheet" Target="worksheets/sheet31.xml"/><Relationship  Id="rId19" Type="http://schemas.openxmlformats.org/officeDocument/2006/relationships/worksheet" Target="worksheets/sheet19.xml"/><Relationship  Id="rId37" Type="http://schemas.openxmlformats.org/officeDocument/2006/relationships/worksheet" Target="worksheets/sheet37.xml"/><Relationship  Id="rId46" Type="http://schemas.openxmlformats.org/officeDocument/2006/relationships/worksheet" Target="worksheets/sheet46.xml"/><Relationship  Id="rId7" Type="http://schemas.openxmlformats.org/officeDocument/2006/relationships/worksheet" Target="worksheets/sheet7.xml"/><Relationship  Id="rId73" Type="http://schemas.openxmlformats.org/officeDocument/2006/relationships/worksheet" Target="worksheets/sheet73.xml"/><Relationship  Id="rId14" Type="http://schemas.openxmlformats.org/officeDocument/2006/relationships/worksheet" Target="worksheets/sheet14.xml"/><Relationship  Id="rId77" Type="http://schemas.openxmlformats.org/officeDocument/2006/relationships/worksheet" Target="worksheets/sheet77.xml"/><Relationship  Id="rId6" Type="http://schemas.openxmlformats.org/officeDocument/2006/relationships/worksheet" Target="worksheets/sheet6.xml"/><Relationship  Id="rId5" Type="http://schemas.openxmlformats.org/officeDocument/2006/relationships/worksheet" Target="worksheets/sheet5.xml"/><Relationship  Id="rId16" Type="http://schemas.openxmlformats.org/officeDocument/2006/relationships/worksheet" Target="worksheets/sheet16.xml"/><Relationship  Id="rId4" Type="http://schemas.openxmlformats.org/officeDocument/2006/relationships/worksheet" Target="worksheets/sheet4.xml"/><Relationship  Id="rId12" Type="http://schemas.openxmlformats.org/officeDocument/2006/relationships/worksheet" Target="worksheets/sheet12.xml"/><Relationship  Id="rId72" Type="http://schemas.openxmlformats.org/officeDocument/2006/relationships/worksheet" Target="worksheets/sheet72.xml"/><Relationship  Id="rId32" Type="http://schemas.openxmlformats.org/officeDocument/2006/relationships/worksheet" Target="worksheets/sheet32.xml"/><Relationship  Id="rId30" Type="http://schemas.openxmlformats.org/officeDocument/2006/relationships/worksheet" Target="worksheets/sheet30.xml"/><Relationship  Id="rId3" Type="http://schemas.openxmlformats.org/officeDocument/2006/relationships/worksheet" Target="worksheets/sheet3.xml"/><Relationship  Id="rId2" Type="http://schemas.openxmlformats.org/officeDocument/2006/relationships/worksheet" Target="worksheets/sheet2.xml"/><Relationship  Id="rId92" Type="http://schemas.openxmlformats.org/officeDocument/2006/relationships/styles" Target="styles.xml"/><Relationship  Id="rId1" Type="http://schemas.openxmlformats.org/officeDocument/2006/relationships/worksheet" Target="worksheets/sheet1.xml"/></Relationships>
</file>

<file path=xl/drawings/_rels/drawing1.xml.rels><?xml version="1.0" encoding="UTF-8" standalone="yes"?><Relationships xmlns="http://schemas.openxmlformats.org/package/2006/relationships"><Relationship Id="rId1" Type="http://schemas.openxmlformats.org/officeDocument/2006/relationships/image" Target="../media/image1.jpg"/><Relationship Id="rId2" Type="http://schemas.openxmlformats.org/officeDocument/2006/relationships/image" Target="../media/image2.jp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g"/></Relationships>
</file>

<file path=xl/drawings/_rels/drawing2.xml.rels><?xml version="1.0" encoding="UTF-8" standalone="yes"?><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Relationships xmlns="http://schemas.openxmlformats.org/package/2006/relationships"><Relationship Id="rId1" Type="http://schemas.openxmlformats.org/officeDocument/2006/relationships/image" Target="../media/image8.png"/></Relationships>
</file>

<file path=xl/drawings/_rels/drawing4.xml.rels><?xml version="1.0" encoding="UTF-8" standalone="yes"?><Relationships xmlns="http://schemas.openxmlformats.org/package/2006/relationships"><Relationship Id="rId1" Type="http://schemas.openxmlformats.org/officeDocument/2006/relationships/image" Target="../media/image9.png"/></Relationships>
</file>

<file path=xl/drawings/_rels/drawing5.xml.rels><?xml version="1.0" encoding="UTF-8" standalone="yes"?><Relationships xmlns="http://schemas.openxmlformats.org/package/2006/relationships"><Relationship Id="rId1" Type="http://schemas.openxmlformats.org/officeDocument/2006/relationships/image" Target="../media/image10.png"/></Relationships>
</file>

<file path=xl/drawings/_rels/drawing6.xml.rels><?xml version="1.0" encoding="UTF-8" standalone="yes"?><Relationships xmlns="http://schemas.openxmlformats.org/package/2006/relationships"><Relationship Id="rId1" Type="http://schemas.openxmlformats.org/officeDocument/2006/relationships/image" Target="../media/image11.png"/></Relationships>
</file>

<file path=xl/drawings/_rels/drawing7.xml.rels><?xml version="1.0" encoding="UTF-8" standalone="yes"?><Relationships xmlns="http://schemas.openxmlformats.org/package/2006/relationships"><Relationship Id="rId1" Type="http://schemas.openxmlformats.org/officeDocument/2006/relationships/image" Target="../media/image12.png"/></Relationships>
</file>

<file path=xl/drawings/_rels/drawing8.xml.rels><?xml version="1.0" encoding="UTF-8" standalone="yes"?><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r:embed="rId1"/>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r:embed="rId2"/>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r:embed="rId3"/>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r:embed="rId4"/>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r:embed="rId5"/>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r:embed="rId1"/>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r:embed="rId2"/>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r:embed="rId1"/>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r:embed="rId1"/>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r:embed="rId1"/>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twoCellAnchor>
    <xdr:from>
      <xdr:col>0</xdr:col>
      <xdr:colOff>0</xdr:colOff>
      <xdr:row>13</xdr:row>
      <xdr:rowOff>0</xdr:rowOff>
    </xdr:from>
    <xdr:to>
      <xdr:col>3</xdr:col>
      <xdr:colOff>0</xdr:colOff>
      <xdr:row>13</xdr:row>
      <xdr:rowOff>247649</xdr:rowOff>
    </xdr:to>
    <xdr:pic>
      <xdr:nvPicPr>
        <xdr:cNvPr id="1" name="UNFREEZE_PANES" descr="update_org.png" hidden="1"/>
        <xdr:cNvPicPr>
          <a:picLocks noChangeAspect="1"/>
        </xdr:cNvPicPr>
      </xdr:nvPicPr>
      <xdr:blipFill>
        <a:blip r:embed="rId1"/>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r:embed="rId1"/>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twoCellAnchor>
    <xdr:from>
      <xdr:col>0</xdr:col>
      <xdr:colOff>0</xdr:colOff>
      <xdr:row>4</xdr:row>
      <xdr:rowOff>0</xdr:rowOff>
    </xdr:from>
    <xdr:to>
      <xdr:col>3</xdr:col>
      <xdr:colOff>0</xdr:colOff>
      <xdr:row>4</xdr:row>
      <xdr:rowOff>247649</xdr:rowOff>
    </xdr:to>
    <xdr:pic>
      <xdr:nvPicPr>
        <xdr:cNvPr id="1" name="UNFREEZE_PANES" descr="update_org.png" hidden="1"/>
        <xdr:cNvPicPr>
          <a:picLocks noChangeAspect="1"/>
        </xdr:cNvPicPr>
      </xdr:nvPicPr>
      <xdr:blipFill>
        <a:blip r:embed="rId1"/>
        <a:stretch/>
      </xdr:blipFill>
      <xdr:spPr>
        <a:xfrm>
          <a:off x="0" y="0"/>
          <a:ext cx="0" cy="0"/>
        </a:xfrm>
        <a:prstGeom prst="rect">
          <a:avLst/>
        </a:prstGeom>
        <a:ln w="0">
          <a:noFill/>
          <a:prstDash val="solid"/>
        </a:ln>
      </xdr:spPr>
    </xdr:pic>
    <xdr:clientData/>
  </xdr:twoCellAnchor>
</xdr:wsDr>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Liberation Sans"/>
        <a:cs typeface="Liberation Sans"/>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Liberation Sans"/>
        <a:cs typeface="Liberation Sans"/>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2.xml.rels><?xml version="1.0" encoding="UTF-8" standalone="yes"?><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comments" Target="../comments1.x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_rels/sheet63.xml.rels><?xml version="1.0" encoding="UTF-8" standalone="yes"?><Relationships xmlns="http://schemas.openxmlformats.org/package/2006/relationships"><Relationship  Id="rId2" Type="http://schemas.openxmlformats.org/officeDocument/2006/relationships/vmlDrawing" Target="../drawings/vmlDrawing3.vml"/><Relationship  Id="rId1"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GridLines="0" showRowColHeaders="0" topLeftCell="A1" workbookViewId="0">
      <selection activeCell="A1" sqref="A1"/>
    </sheetView>
  </sheetViews>
  <sheetFormatPr defaultColWidth="11.00390625" defaultRowHeight="12.75" customHeight="1"/>
  <cols>
    <col customWidth="1" min="1" max="1" style="1704" width="5.421875"/>
    <col customWidth="1" min="2" max="2" style="1704" width="9.140625"/>
    <col customWidth="1" min="3" max="3" style="1704" width="16.421875"/>
    <col customWidth="1" min="4" max="25" style="1704" width="6.28125"/>
    <col min="26" max="28" style="1704" width="11.00390625"/>
  </cols>
  <sheetData>
    <row r="1" ht="15.75" customHeight="1">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r="2" ht="17.25" customHeight="1">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r="3" ht="15.75" customHeight="1">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r="4" ht="17.25" customHeight="1">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r="5" ht="22.5" customHeight="1">
      <c r="A5" s="1708"/>
      <c r="B5" s="2079" t="str">
        <f>IF(TEMPLATE_SPHERE="","Информация, подлежащая раскрытию регулируемыми организациями",Титульный!E5)</f>
        <v xml:space="preserve">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r="6" ht="15" customHeight="1">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r="7" ht="15" customHeight="1">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r="8" ht="15" customHeight="1">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r="9" ht="15" customHeight="1">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r="10" ht="30" customHeight="1">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r="11" ht="19.5" customHeight="1">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r="12" ht="69" customHeight="1">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r="13" ht="15" customHeight="1">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r="14" ht="57" customHeight="1">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r="15" ht="16.5" customHeight="1">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r="16" ht="95.25" customHeight="1">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r="17" ht="14.25" customHeight="1">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r="18" ht="14.25" customHeight="1">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r="19" ht="14.25" customHeight="1">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r="20" ht="14.25" customHeight="1">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r="21" ht="14.25" customHeight="1">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autoFilter="0" deleteColumns="0" deleteRows="0" formatColumns="0" formatRows="0" insertColumns="1" insertRows="0" sort="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31"/>
  </sheetPr>
  <sheetViews>
    <sheetView showGridLines="0" tabSelected="1" topLeftCell="C1" zoomScale="90" workbookViewId="0">
      <selection activeCell="F67" sqref="F67"/>
    </sheetView>
  </sheetViews>
  <sheetFormatPr defaultColWidth="9.140625" defaultRowHeight="11.25" customHeight="1"/>
  <cols>
    <col customWidth="1" hidden="1" min="1" max="1" style="787" width="10.7109375"/>
    <col customWidth="1" hidden="1" min="2" max="2" style="732" width="10.7109375"/>
    <col customWidth="1" min="3" max="3" style="530" width="3.00390625"/>
    <col customWidth="1" min="4" max="4" style="1635" width="1.00390625"/>
    <col customWidth="1" min="5" max="6" style="1635" width="55.00390625"/>
    <col customWidth="1" min="7" max="7" style="2125" width="1.00390625"/>
    <col customWidth="1" hidden="1" min="8" max="8" style="1635" width="18.00390625"/>
    <col customWidth="1" min="9" max="9" style="531" width="59.00390625"/>
    <col customWidth="1" hidden="1" min="10" max="10" style="1366" width="52.140625"/>
    <col customWidth="1" min="11" max="11" style="1635" width="8.00390625"/>
    <col customWidth="1" min="12" max="12" style="1635" width="77.00390625"/>
    <col customWidth="1" min="13" max="16" style="1635" width="8.00390625"/>
    <col customWidth="1" hidden="1" min="17" max="17" style="1635" width="12.00390625"/>
  </cols>
  <sheetData>
    <row r="1" s="622" customFormat="1" ht="3" customHeight="1">
      <c r="A1" s="783"/>
      <c r="B1" s="241"/>
      <c r="F1" s="242" t="s">
        <v>13</v>
      </c>
      <c r="G1" s="411"/>
      <c r="H1" s="71"/>
      <c r="I1" s="411"/>
      <c r="J1" s="871"/>
      <c r="Q1" s="242" t="s">
        <v>14</v>
      </c>
    </row>
    <row r="2" s="1632" customFormat="1" ht="14.25" customHeight="1">
      <c r="A2" s="783"/>
      <c r="B2" s="98"/>
      <c r="E2" s="1740" t="str">
        <f>code</f>
        <v xml:space="preserve">Код отчёта: PP108.OPEN.INFO.QUARTER.VOTV.EIAS</v>
      </c>
      <c r="F2" s="269"/>
      <c r="G2" s="245"/>
      <c r="H2" s="245"/>
      <c r="I2" s="245"/>
      <c r="J2" s="872"/>
      <c r="K2" s="245"/>
      <c r="Q2" s="71">
        <v>14</v>
      </c>
    </row>
    <row r="3" ht="14.65" customHeight="1">
      <c r="E3" s="246" t="str">
        <f>version</f>
        <v xml:space="preserve">Версия отчёта: 1.1.1</v>
      </c>
      <c r="F3" s="269"/>
      <c r="G3" s="770"/>
      <c r="H3" s="770"/>
      <c r="I3" s="770"/>
      <c r="J3" s="873"/>
      <c r="K3" s="88"/>
      <c r="Q3" s="74">
        <v>14</v>
      </c>
    </row>
    <row r="4" s="1612" customFormat="1" ht="6.2999999999999998" customHeight="1">
      <c r="A4" s="784"/>
      <c r="B4" s="232"/>
      <c r="C4" s="233"/>
      <c r="D4" s="234"/>
      <c r="E4" s="243"/>
      <c r="F4" s="244"/>
      <c r="G4" s="771"/>
      <c r="H4" s="409"/>
      <c r="I4" s="411"/>
      <c r="J4" s="874"/>
      <c r="Q4" s="236">
        <v>6</v>
      </c>
    </row>
    <row r="5" ht="39.75" customHeight="1">
      <c r="D5" s="75"/>
      <c r="E5" s="2095" t="str">
        <f>NameTemplatesInTitle</f>
        <v xml:space="preserve">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F5" s="2096"/>
      <c r="G5" s="772"/>
      <c r="J5" s="875"/>
      <c r="Q5" s="74">
        <v>38</v>
      </c>
    </row>
    <row r="6" s="1612" customFormat="1" ht="6.2999999999999998" customHeight="1">
      <c r="A6" s="784"/>
      <c r="B6" s="232"/>
      <c r="C6" s="233"/>
      <c r="D6" s="234"/>
      <c r="E6" s="237"/>
      <c r="F6" s="238"/>
      <c r="G6" s="772"/>
      <c r="H6" s="409"/>
      <c r="I6" s="411"/>
      <c r="J6" s="874"/>
      <c r="Q6" s="236">
        <v>6</v>
      </c>
    </row>
    <row r="7" ht="21" customHeight="1">
      <c r="D7" s="75"/>
      <c r="E7" s="391" t="s">
        <v>15</v>
      </c>
      <c r="F7" s="215" t="s">
        <v>16</v>
      </c>
      <c r="G7" s="772"/>
      <c r="Q7" s="74">
        <v>20</v>
      </c>
    </row>
    <row r="8" s="1612" customFormat="1" ht="6.2999999999999998" customHeight="1">
      <c r="A8" s="785"/>
      <c r="B8" s="232"/>
      <c r="C8" s="233"/>
      <c r="D8" s="239"/>
      <c r="E8" s="237"/>
      <c r="F8" s="240"/>
      <c r="G8" s="77"/>
      <c r="H8" s="409"/>
      <c r="I8" s="411"/>
      <c r="J8" s="877"/>
      <c r="Q8" s="236">
        <v>6</v>
      </c>
    </row>
    <row r="9" s="1635" customFormat="1" ht="19.5" hidden="1" customHeight="1">
      <c r="A9" s="784"/>
      <c r="B9" s="98"/>
      <c r="C9" s="408"/>
      <c r="D9" s="410"/>
      <c r="E9" s="1165" t="s">
        <v>17</v>
      </c>
      <c r="F9" s="1921"/>
      <c r="G9" s="772"/>
      <c r="I9" s="1900" t="str">
        <f>IF(TITLE_STRUCTURE_INFO_ROIV="","","раскрывается "&amp;INDEX(ROIV_INFO_COMMENT,MATCH(TITLE_STRUCTURE_INFO_ROIV,ROIV_INFO_LIST,0)))</f>
        <v/>
      </c>
      <c r="J9" s="876"/>
      <c r="Q9" s="409">
        <v>0</v>
      </c>
    </row>
    <row r="10" s="1612" customFormat="1" ht="24" hidden="1" customHeight="1">
      <c r="A10" s="785"/>
      <c r="B10" s="426"/>
      <c r="C10" s="427"/>
      <c r="D10" s="239"/>
      <c r="E10" s="1165" t="s">
        <v>18</v>
      </c>
      <c r="F10" s="2066" t="s">
        <v>19</v>
      </c>
      <c r="G10" s="77"/>
      <c r="H10" s="409"/>
      <c r="I10" s="411"/>
      <c r="J10" s="877"/>
      <c r="Q10" s="430">
        <v>24</v>
      </c>
    </row>
    <row r="11" ht="22.5" hidden="1" customHeight="1">
      <c r="A11" s="2098" t="s">
        <v>20</v>
      </c>
      <c r="D11" s="75"/>
      <c r="E11" s="1165" t="s">
        <v>21</v>
      </c>
      <c r="F11" s="1732" t="s">
        <v>22</v>
      </c>
      <c r="G11" s="77"/>
      <c r="H11" s="773" t="s">
        <v>23</v>
      </c>
      <c r="J11" s="876" t="s">
        <v>24</v>
      </c>
      <c r="Q11" s="74">
        <v>0</v>
      </c>
    </row>
    <row r="12" ht="22.5" hidden="1" customHeight="1">
      <c r="A12" s="2098"/>
      <c r="D12" s="75"/>
      <c r="E12" s="1165" t="s">
        <v>25</v>
      </c>
      <c r="F12" s="1732"/>
      <c r="G12" s="73"/>
      <c r="J12" s="876" t="s">
        <v>26</v>
      </c>
      <c r="Q12" s="74">
        <v>0</v>
      </c>
    </row>
    <row r="13" s="1635" customFormat="1" ht="22.5" hidden="1" customHeight="1">
      <c r="A13" s="788" t="s">
        <v>27</v>
      </c>
      <c r="B13" s="98"/>
      <c r="C13" s="408"/>
      <c r="D13" s="410"/>
      <c r="E13" s="1775" t="s">
        <v>28</v>
      </c>
      <c r="F13" s="1732" t="s">
        <v>22</v>
      </c>
      <c r="G13" s="77"/>
      <c r="H13" s="770"/>
      <c r="I13" s="411"/>
      <c r="J13" s="1776" t="s">
        <v>29</v>
      </c>
      <c r="Q13" s="409">
        <v>0</v>
      </c>
    </row>
    <row r="14" s="1635" customFormat="1" ht="27" customHeight="1">
      <c r="A14" s="788" t="s">
        <v>30</v>
      </c>
      <c r="B14" s="98"/>
      <c r="C14" s="408"/>
      <c r="D14" s="410"/>
      <c r="E14" s="1165" t="s">
        <v>31</v>
      </c>
      <c r="F14" s="1767">
        <v>2026</v>
      </c>
      <c r="G14" s="77"/>
      <c r="H14" s="770"/>
      <c r="I14" s="411"/>
      <c r="J14" s="876" t="s">
        <v>32</v>
      </c>
      <c r="Q14" s="409">
        <v>0</v>
      </c>
    </row>
    <row r="15" s="1635" customFormat="1" ht="19.5" customHeight="1">
      <c r="A15" s="788" t="s">
        <v>33</v>
      </c>
      <c r="B15" s="98"/>
      <c r="C15" s="408"/>
      <c r="D15" s="410"/>
      <c r="E15" s="1165" t="s">
        <v>34</v>
      </c>
      <c r="F15" s="1767" t="s">
        <v>35</v>
      </c>
      <c r="G15" s="77"/>
      <c r="H15" s="770"/>
      <c r="I15" s="411"/>
      <c r="J15" s="876" t="s">
        <v>36</v>
      </c>
      <c r="Q15" s="409">
        <v>0</v>
      </c>
    </row>
    <row r="16" s="1612" customFormat="1" ht="6.2999999999999998" customHeight="1">
      <c r="A16" s="785"/>
      <c r="B16" s="232"/>
      <c r="C16" s="233"/>
      <c r="D16" s="239"/>
      <c r="E16" s="237"/>
      <c r="F16" s="240"/>
      <c r="G16" s="77"/>
      <c r="H16" s="409"/>
      <c r="I16" s="411"/>
      <c r="J16" s="874"/>
      <c r="Q16" s="236">
        <v>6</v>
      </c>
    </row>
    <row r="17" ht="21" customHeight="1">
      <c r="D17" s="75"/>
      <c r="E17" s="391" t="s">
        <v>37</v>
      </c>
      <c r="F17" s="216" t="s">
        <v>38</v>
      </c>
      <c r="G17" s="73"/>
      <c r="H17" s="773" t="s">
        <v>23</v>
      </c>
      <c r="Q17" s="74">
        <v>20</v>
      </c>
    </row>
    <row r="18" ht="25.5" hidden="1" customHeight="1">
      <c r="D18" s="75"/>
      <c r="E18" s="1775" t="s">
        <v>39</v>
      </c>
      <c r="F18" s="1733"/>
      <c r="G18" s="73"/>
      <c r="I18" s="774"/>
      <c r="J18" s="2097" t="s">
        <v>40</v>
      </c>
      <c r="Q18" s="74">
        <v>0</v>
      </c>
    </row>
    <row r="19" ht="25.5" hidden="1" customHeight="1">
      <c r="D19" s="75"/>
      <c r="E19" s="1165" t="str">
        <f>"Дата периода регулирования, с которой "&amp;IF(TEMPLATE_GROUP="P","вводятся","предлагаются")&amp;" изменения в тарифы"</f>
        <v xml:space="preserve">Дата периода регулирования, с которой предлагаются изменения в тарифы</v>
      </c>
      <c r="F19" s="1733"/>
      <c r="G19" s="73"/>
      <c r="I19" s="774"/>
      <c r="J19" s="2097"/>
      <c r="Q19" s="74">
        <v>0</v>
      </c>
    </row>
    <row r="20" ht="22.5" hidden="1" customHeight="1">
      <c r="D20" s="75"/>
      <c r="E20" s="76"/>
      <c r="F20" s="270" t="str">
        <f>"Первичное "&amp;IF(TEMPLATE_GROUP="P","установление тарифов","предложение по тарифам")</f>
        <v xml:space="preserve">Первичное предложение по тарифам</v>
      </c>
      <c r="G20" s="73"/>
      <c r="I20" s="394"/>
      <c r="J20" s="875" t="s">
        <v>41</v>
      </c>
      <c r="Q20" s="74">
        <v>0</v>
      </c>
    </row>
    <row r="21" ht="19.5" hidden="1" customHeight="1">
      <c r="D21" s="75"/>
      <c r="E21" s="391" t="str">
        <f>"Дата "&amp;IF(TEMPLATE_GROUP="P","документа","подачи заявления")&amp;" об утверждении тарифов"</f>
        <v xml:space="preserve">Дата подачи заявления об утверждении тарифов</v>
      </c>
      <c r="F21" s="1732"/>
      <c r="G21" s="73"/>
      <c r="I21" s="775"/>
      <c r="Q21" s="74">
        <v>0</v>
      </c>
    </row>
    <row r="22" ht="19.5" hidden="1" customHeight="1">
      <c r="D22" s="75"/>
      <c r="E22" s="391" t="str">
        <f>"Номер "&amp;IF(TEMPLATE_GROUP="P","документа","подачи заявления")&amp;" об утверждении тарифов"</f>
        <v xml:space="preserve">Номер подачи заявления об утверждении тарифов</v>
      </c>
      <c r="F22" s="216"/>
      <c r="G22" s="73"/>
      <c r="I22" s="775"/>
      <c r="Q22" s="74">
        <v>0</v>
      </c>
    </row>
    <row r="23" ht="22.5" hidden="1" customHeight="1">
      <c r="D23" s="75"/>
      <c r="E23" s="391" t="s">
        <v>42</v>
      </c>
      <c r="F23" s="216"/>
      <c r="G23" s="73"/>
      <c r="Q23" s="74">
        <v>0</v>
      </c>
    </row>
    <row r="24" ht="19.5" hidden="1" customHeight="1">
      <c r="D24" s="75"/>
      <c r="E24" s="391" t="s">
        <v>43</v>
      </c>
      <c r="F24" s="216"/>
      <c r="G24" s="73"/>
      <c r="Q24" s="74">
        <v>0</v>
      </c>
    </row>
    <row r="25" ht="22.5" hidden="1" customHeight="1">
      <c r="D25" s="75"/>
      <c r="E25" s="76"/>
      <c r="F25" s="270" t="str">
        <f>"Изменение "&amp;IF(TEMPLATE_GROUP="P","тарифов","предложения по тарифам")</f>
        <v xml:space="preserve">Изменение предложения по тарифам</v>
      </c>
      <c r="G25" s="73"/>
      <c r="J25" s="875" t="s">
        <v>44</v>
      </c>
      <c r="Q25" s="74">
        <v>0</v>
      </c>
    </row>
    <row r="26" ht="19.5" hidden="1" customHeight="1">
      <c r="D26" s="75"/>
      <c r="E26" s="391" t="str">
        <f>"Дата "&amp;IF(TEMPLATE_GROUP="P","принятия решения","подачи заявления")&amp;" об изменении тарифов"</f>
        <v xml:space="preserve">Дата подачи заявления об изменении тарифов</v>
      </c>
      <c r="F26" s="1733"/>
      <c r="G26" s="73"/>
      <c r="Q26" s="74">
        <v>0</v>
      </c>
    </row>
    <row r="27" ht="19.5" hidden="1" customHeight="1">
      <c r="D27" s="75"/>
      <c r="E27" s="1165" t="str">
        <f>"Номер "&amp;IF(TEMPLATE_GROUP="P","принятия решения","заявления")&amp;" об изменении тарифов"</f>
        <v xml:space="preserve">Номер заявления об изменении тарифов</v>
      </c>
      <c r="F27" s="218"/>
      <c r="G27" s="73"/>
      <c r="Q27" s="74">
        <v>0</v>
      </c>
    </row>
    <row r="28" ht="24.75" hidden="1" customHeight="1">
      <c r="D28" s="75"/>
      <c r="E28" s="391" t="s">
        <v>45</v>
      </c>
      <c r="F28" s="218"/>
      <c r="G28" s="73"/>
      <c r="Q28" s="74">
        <v>0</v>
      </c>
    </row>
    <row r="29" ht="19.5" hidden="1" customHeight="1">
      <c r="D29" s="75"/>
      <c r="E29" s="391" t="s">
        <v>43</v>
      </c>
      <c r="F29" s="218"/>
      <c r="G29" s="73"/>
      <c r="Q29" s="74">
        <v>0</v>
      </c>
    </row>
    <row r="30" s="1612" customFormat="1" ht="6.2999999999999998" customHeight="1">
      <c r="A30" s="785"/>
      <c r="B30" s="232"/>
      <c r="C30" s="233"/>
      <c r="D30" s="239"/>
      <c r="E30" s="237"/>
      <c r="F30" s="240"/>
      <c r="G30" s="77"/>
      <c r="H30" s="409"/>
      <c r="I30" s="411"/>
      <c r="J30" s="874"/>
      <c r="Q30" s="236">
        <v>6</v>
      </c>
    </row>
    <row r="31" ht="21" customHeight="1">
      <c r="C31" s="78"/>
      <c r="D31" s="79"/>
      <c r="E31" s="391" t="str">
        <f>"Наименование "&amp;IF(TEMPLATE_GROUP="ROIV","органа тарифного регулирования","ЮЛ / ИП")</f>
        <v xml:space="preserve">Наименование ЮЛ / ИП</v>
      </c>
      <c r="F31" s="217" t="s">
        <v>46</v>
      </c>
      <c r="G31" s="776"/>
      <c r="Q31" s="74">
        <v>20</v>
      </c>
    </row>
    <row r="32" ht="21" hidden="1" customHeight="1">
      <c r="C32" s="78"/>
      <c r="D32" s="79"/>
      <c r="E32" s="392" t="s">
        <v>47</v>
      </c>
      <c r="F32" s="217"/>
      <c r="G32" s="776"/>
      <c r="Q32" s="74">
        <v>20</v>
      </c>
    </row>
    <row r="33" ht="21" customHeight="1">
      <c r="C33" s="78"/>
      <c r="D33" s="79"/>
      <c r="E33" s="391" t="s">
        <v>48</v>
      </c>
      <c r="F33" s="217" t="s">
        <v>49</v>
      </c>
      <c r="G33" s="776"/>
      <c r="Q33" s="74">
        <v>20</v>
      </c>
    </row>
    <row r="34" ht="21" customHeight="1">
      <c r="C34" s="78"/>
      <c r="D34" s="79"/>
      <c r="E34" s="391" t="s">
        <v>50</v>
      </c>
      <c r="F34" s="217" t="s">
        <v>51</v>
      </c>
      <c r="G34" s="776"/>
      <c r="H34" s="80"/>
      <c r="Q34" s="74">
        <v>20</v>
      </c>
    </row>
    <row r="35" s="1612" customFormat="1" ht="11.5" customHeight="1">
      <c r="A35" s="785"/>
      <c r="B35" s="232"/>
      <c r="C35" s="233"/>
      <c r="D35" s="239"/>
      <c r="E35" s="237"/>
      <c r="F35" s="240"/>
      <c r="G35" s="77"/>
      <c r="H35" s="409"/>
      <c r="I35" s="411"/>
      <c r="J35" s="874"/>
      <c r="Q35" s="236">
        <v>11</v>
      </c>
    </row>
    <row r="36" ht="19.5" hidden="1" customHeight="1">
      <c r="A36" s="879"/>
      <c r="D36" s="79"/>
      <c r="E36" s="391" t="s">
        <v>52</v>
      </c>
      <c r="F36" s="348"/>
      <c r="G36" s="77"/>
      <c r="Q36" s="74">
        <v>0</v>
      </c>
    </row>
    <row r="37" ht="21" customHeight="1">
      <c r="A37" s="879"/>
      <c r="D37" s="79"/>
      <c r="E37" s="391" t="s">
        <v>53</v>
      </c>
      <c r="F37" s="1210" t="s">
        <v>54</v>
      </c>
      <c r="G37" s="77"/>
      <c r="Q37" s="74">
        <v>20</v>
      </c>
    </row>
    <row r="38" s="1612" customFormat="1" ht="6.2999999999999998" customHeight="1">
      <c r="A38" s="785"/>
      <c r="B38" s="232"/>
      <c r="C38" s="233"/>
      <c r="D38" s="234"/>
      <c r="E38" s="235"/>
      <c r="F38" s="1053"/>
      <c r="G38" s="73"/>
      <c r="H38" s="409"/>
      <c r="I38" s="411"/>
      <c r="J38" s="876"/>
      <c r="Q38" s="236">
        <v>6</v>
      </c>
    </row>
    <row r="39" ht="36.75" customHeight="1">
      <c r="A39" s="785"/>
      <c r="D39" s="75"/>
      <c r="E39" s="391" t="s">
        <v>55</v>
      </c>
      <c r="F39" s="710" t="s">
        <v>19</v>
      </c>
      <c r="G39" s="73"/>
      <c r="H39" s="773" t="s">
        <v>23</v>
      </c>
      <c r="Q39" s="74">
        <v>35</v>
      </c>
    </row>
    <row r="40" s="1612" customFormat="1" ht="6.2999999999999998" hidden="1" customHeight="1">
      <c r="A40" s="784"/>
      <c r="B40" s="426"/>
      <c r="C40" s="427"/>
      <c r="D40" s="428"/>
      <c r="E40" s="429"/>
      <c r="F40" s="1053"/>
      <c r="G40" s="73"/>
      <c r="H40" s="409"/>
      <c r="I40" s="411"/>
      <c r="J40" s="876"/>
      <c r="Q40" s="430">
        <v>6</v>
      </c>
    </row>
    <row r="41" s="1635" customFormat="1" ht="26.25" hidden="1" customHeight="1">
      <c r="A41" s="788" t="s">
        <v>27</v>
      </c>
      <c r="B41" s="413"/>
      <c r="C41" s="408"/>
      <c r="D41" s="410"/>
      <c r="E41" s="391" t="str">
        <f>"Дифференциация информации по централизованным системам  "&amp;TEMPLATE_SPHERE_RUS</f>
        <v xml:space="preserve">Дифференциация информации по централизованным системам  водоотведения</v>
      </c>
      <c r="F41" s="710" t="s">
        <v>19</v>
      </c>
      <c r="G41" s="73"/>
      <c r="I41" s="411"/>
      <c r="J41" s="876"/>
      <c r="Q41" s="409">
        <v>0</v>
      </c>
    </row>
    <row r="42" s="1612" customFormat="1" ht="6" hidden="1" customHeight="1">
      <c r="A42" s="784"/>
      <c r="B42" s="426"/>
      <c r="C42" s="427"/>
      <c r="D42" s="428"/>
      <c r="E42" s="429"/>
      <c r="F42" s="1053"/>
      <c r="G42" s="73"/>
      <c r="H42" s="409"/>
      <c r="I42" s="411"/>
      <c r="J42" s="874"/>
      <c r="Q42" s="430">
        <v>0</v>
      </c>
    </row>
    <row r="43" s="1635" customFormat="1" ht="27" hidden="1" customHeight="1">
      <c r="A43" s="784"/>
      <c r="B43" s="413"/>
      <c r="C43" s="408"/>
      <c r="D43" s="410"/>
      <c r="E43" s="391" t="s">
        <v>56</v>
      </c>
      <c r="F43" s="710" t="s">
        <v>19</v>
      </c>
      <c r="G43" s="73"/>
      <c r="I43" s="411"/>
      <c r="J43" s="876"/>
      <c r="Q43" s="409">
        <v>0</v>
      </c>
    </row>
    <row r="44" s="1635" customFormat="1" ht="27" hidden="1" customHeight="1">
      <c r="A44" s="784"/>
      <c r="B44" s="413"/>
      <c r="C44" s="408"/>
      <c r="D44" s="410"/>
      <c r="E44" s="1165" t="s">
        <v>57</v>
      </c>
      <c r="F44" s="1888"/>
      <c r="G44" s="73"/>
      <c r="I44" s="411"/>
      <c r="J44" s="876"/>
      <c r="Q44" s="409">
        <v>0</v>
      </c>
    </row>
    <row r="45" s="1612" customFormat="1" ht="6" hidden="1" customHeight="1">
      <c r="A45" s="784"/>
      <c r="B45" s="426"/>
      <c r="C45" s="427"/>
      <c r="D45" s="428"/>
      <c r="E45" s="429"/>
      <c r="F45" s="1053"/>
      <c r="G45" s="73"/>
      <c r="H45" s="409"/>
      <c r="I45" s="411"/>
      <c r="J45" s="876"/>
      <c r="Q45" s="430">
        <v>0</v>
      </c>
    </row>
    <row r="46" s="1612" customFormat="1" ht="24.75" hidden="1" customHeight="1">
      <c r="A46" s="784"/>
      <c r="B46" s="426"/>
      <c r="C46" s="427"/>
      <c r="D46" s="428"/>
      <c r="E46" s="1165" t="s">
        <v>58</v>
      </c>
      <c r="F46" s="710" t="s">
        <v>19</v>
      </c>
      <c r="G46" s="73"/>
      <c r="H46" s="409"/>
      <c r="I46" s="411"/>
      <c r="J46" s="876"/>
      <c r="Q46" s="430">
        <v>0</v>
      </c>
    </row>
    <row r="47" s="1635" customFormat="1" ht="24.75" hidden="1" customHeight="1">
      <c r="A47" s="784"/>
      <c r="B47" s="413"/>
      <c r="C47" s="408"/>
      <c r="D47" s="410"/>
      <c r="E47" s="1165" t="s">
        <v>59</v>
      </c>
      <c r="F47" s="710" t="s">
        <v>19</v>
      </c>
      <c r="G47" s="73"/>
      <c r="I47" s="411"/>
      <c r="J47" s="876"/>
      <c r="Q47" s="409">
        <v>0</v>
      </c>
    </row>
    <row r="48" s="1612" customFormat="1" ht="6" hidden="1" customHeight="1">
      <c r="A48" s="784"/>
      <c r="B48" s="232"/>
      <c r="C48" s="233"/>
      <c r="D48" s="234"/>
      <c r="E48" s="235"/>
      <c r="F48" s="1053"/>
      <c r="G48" s="73"/>
      <c r="H48" s="409"/>
      <c r="I48" s="411"/>
      <c r="J48" s="876"/>
      <c r="Q48" s="236">
        <v>0</v>
      </c>
    </row>
    <row r="49" ht="29.25" hidden="1" customHeight="1">
      <c r="B49" s="148"/>
      <c r="D49" s="75"/>
      <c r="E49" s="391" t="str">
        <f>"Организация осуществляет подключение (технологическое присоединение) к системе "&amp;TEMPLATE_SPHERE_RUS</f>
        <v xml:space="preserve">Организация осуществляет подключение (технологическое присоединение) к системе водоотведения</v>
      </c>
      <c r="F49" s="710"/>
      <c r="G49" s="73"/>
      <c r="Q49" s="74">
        <v>0</v>
      </c>
    </row>
    <row r="50" s="1612" customFormat="1" ht="6" hidden="1" customHeight="1">
      <c r="A50" s="785"/>
      <c r="B50" s="426"/>
      <c r="C50" s="427"/>
      <c r="D50" s="239"/>
      <c r="E50" s="237"/>
      <c r="F50" s="240"/>
      <c r="G50" s="77"/>
      <c r="H50" s="409"/>
      <c r="I50" s="411"/>
      <c r="J50" s="876"/>
      <c r="Q50" s="430">
        <v>0</v>
      </c>
    </row>
    <row r="51" s="1635" customFormat="1" ht="28.5" hidden="1" customHeight="1">
      <c r="A51" s="786"/>
      <c r="B51" s="413"/>
      <c r="C51" s="530"/>
      <c r="D51" s="531"/>
      <c r="E51" s="391" t="s">
        <v>60</v>
      </c>
      <c r="F51" s="710" t="s">
        <v>19</v>
      </c>
      <c r="G51" s="532"/>
      <c r="I51" s="534"/>
      <c r="J51" s="878"/>
      <c r="P51" s="535"/>
      <c r="Q51" s="533">
        <v>0</v>
      </c>
    </row>
    <row r="52" s="1612" customFormat="1" ht="6" hidden="1" customHeight="1">
      <c r="A52" s="785"/>
      <c r="B52" s="426"/>
      <c r="C52" s="427"/>
      <c r="D52" s="239"/>
      <c r="E52" s="237"/>
      <c r="F52" s="240"/>
      <c r="G52" s="77"/>
      <c r="H52" s="409"/>
      <c r="I52" s="411"/>
      <c r="J52" s="874"/>
      <c r="Q52" s="430">
        <v>0</v>
      </c>
    </row>
    <row r="53" s="1635" customFormat="1" ht="27" hidden="1" customHeight="1">
      <c r="A53" s="786"/>
      <c r="B53" s="413"/>
      <c r="C53" s="530"/>
      <c r="D53" s="531"/>
      <c r="E53" s="391" t="s">
        <v>61</v>
      </c>
      <c r="F53" s="1048" t="s">
        <v>19</v>
      </c>
      <c r="G53" s="532"/>
      <c r="I53" s="534"/>
      <c r="J53" s="878"/>
      <c r="P53" s="535"/>
      <c r="Q53" s="533">
        <v>0</v>
      </c>
    </row>
    <row r="54" s="1635" customFormat="1" ht="27" hidden="1" customHeight="1">
      <c r="A54" s="786"/>
      <c r="B54" s="413"/>
      <c r="C54" s="530"/>
      <c r="D54" s="531"/>
      <c r="E54" s="391" t="s">
        <v>62</v>
      </c>
      <c r="F54" s="1774"/>
      <c r="G54" s="532"/>
      <c r="I54" s="534"/>
      <c r="J54" s="878"/>
      <c r="P54" s="535"/>
      <c r="Q54" s="533">
        <v>0</v>
      </c>
    </row>
    <row r="55" s="1612" customFormat="1" ht="6" hidden="1" customHeight="1">
      <c r="A55" s="785"/>
      <c r="B55" s="426"/>
      <c r="C55" s="427"/>
      <c r="D55" s="239"/>
      <c r="E55" s="237"/>
      <c r="F55" s="240"/>
      <c r="G55" s="77"/>
      <c r="H55" s="409"/>
      <c r="I55" s="411"/>
      <c r="J55" s="874"/>
      <c r="Q55" s="430">
        <v>0</v>
      </c>
    </row>
    <row r="56" s="1635" customFormat="1" ht="25.5" hidden="1" customHeight="1">
      <c r="A56" s="786"/>
      <c r="B56" s="413"/>
      <c r="C56" s="530"/>
      <c r="D56" s="531"/>
      <c r="E56" s="391" t="s">
        <v>63</v>
      </c>
      <c r="F56" s="1048" t="s">
        <v>19</v>
      </c>
      <c r="G56" s="532"/>
      <c r="I56" s="534"/>
      <c r="J56" s="878"/>
      <c r="P56" s="535"/>
      <c r="Q56" s="533">
        <v>0</v>
      </c>
    </row>
    <row r="57" s="1612" customFormat="1" ht="6" hidden="1" customHeight="1">
      <c r="A57" s="785"/>
      <c r="B57" s="426"/>
      <c r="C57" s="427"/>
      <c r="D57" s="239"/>
      <c r="E57" s="237"/>
      <c r="F57" s="240"/>
      <c r="G57" s="77"/>
      <c r="H57" s="409"/>
      <c r="I57" s="411"/>
      <c r="J57" s="874"/>
      <c r="Q57" s="430">
        <v>0</v>
      </c>
    </row>
    <row r="58" s="1635" customFormat="1" ht="15" hidden="1" customHeight="1">
      <c r="A58" s="786"/>
      <c r="B58" s="413"/>
      <c r="C58" s="530"/>
      <c r="D58" s="531"/>
      <c r="E58" s="391" t="s">
        <v>64</v>
      </c>
      <c r="F58" s="1048" t="s">
        <v>65</v>
      </c>
      <c r="G58" s="532"/>
      <c r="I58" s="534"/>
      <c r="J58" s="878"/>
      <c r="P58" s="535"/>
      <c r="Q58" s="533">
        <v>0</v>
      </c>
    </row>
    <row r="59" s="1635" customFormat="1" ht="75" hidden="1" customHeight="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 xml:space="preserve">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r="F59" s="1189"/>
      <c r="G59" s="532"/>
      <c r="I59" s="534"/>
      <c r="J59" s="878"/>
      <c r="P59" s="535"/>
      <c r="Q59" s="533">
        <v>0</v>
      </c>
    </row>
    <row r="60" s="1635" customFormat="1" ht="15" hidden="1" customHeight="1">
      <c r="A60" s="786"/>
      <c r="B60" s="413"/>
      <c r="C60" s="530"/>
      <c r="D60" s="531"/>
      <c r="E60" s="1165" t="s">
        <v>66</v>
      </c>
      <c r="F60" s="1151"/>
      <c r="G60" s="532"/>
      <c r="I60" s="534"/>
      <c r="J60" s="878"/>
      <c r="P60" s="535"/>
      <c r="Q60" s="533">
        <v>0</v>
      </c>
    </row>
    <row r="61" s="1612" customFormat="1" ht="6" hidden="1" customHeight="1">
      <c r="A61" s="785"/>
      <c r="B61" s="426"/>
      <c r="C61" s="427"/>
      <c r="D61" s="428"/>
      <c r="E61" s="429"/>
      <c r="F61" s="1053"/>
      <c r="G61" s="73"/>
      <c r="H61" s="409"/>
      <c r="I61" s="411"/>
      <c r="J61" s="876"/>
      <c r="Q61" s="430">
        <v>0</v>
      </c>
    </row>
    <row r="62" s="1635" customFormat="1" ht="33.75" hidden="1" customHeight="1">
      <c r="A62" s="785"/>
      <c r="B62" s="98"/>
      <c r="C62" s="408"/>
      <c r="D62" s="410"/>
      <c r="E62" s="1165" t="s">
        <v>67</v>
      </c>
      <c r="F62" s="1671" t="s">
        <v>65</v>
      </c>
      <c r="G62" s="73"/>
      <c r="H62" s="773" t="s">
        <v>23</v>
      </c>
      <c r="I62" s="411"/>
      <c r="J62" s="876"/>
      <c r="Q62" s="409">
        <v>0</v>
      </c>
    </row>
    <row r="63" s="1612" customFormat="1" ht="6.2999999999999998" customHeight="1">
      <c r="A63" s="785"/>
      <c r="B63" s="232"/>
      <c r="C63" s="233"/>
      <c r="D63" s="239"/>
      <c r="E63" s="237"/>
      <c r="F63" s="240"/>
      <c r="G63" s="77"/>
      <c r="H63" s="409"/>
      <c r="I63" s="411"/>
      <c r="J63" s="874"/>
      <c r="Q63" s="236">
        <v>6</v>
      </c>
    </row>
    <row r="64" ht="21" customHeight="1">
      <c r="A64" s="787"/>
      <c r="B64" s="99"/>
      <c r="D64" s="82"/>
      <c r="E64" s="391" t="s">
        <v>68</v>
      </c>
      <c r="F64" s="2576" t="s">
        <v>69</v>
      </c>
      <c r="G64" s="77"/>
      <c r="Q64" s="74">
        <v>20</v>
      </c>
    </row>
    <row r="65" ht="21" customHeight="1">
      <c r="A65" s="787"/>
      <c r="B65" s="99"/>
      <c r="D65" s="82"/>
      <c r="E65" s="391" t="s">
        <v>70</v>
      </c>
      <c r="F65" s="216" t="s">
        <v>71</v>
      </c>
      <c r="G65" s="77"/>
      <c r="Q65" s="74">
        <v>20</v>
      </c>
    </row>
    <row r="66" ht="36.75" customHeight="1">
      <c r="D66" s="75"/>
      <c r="E66" s="393" t="s">
        <v>72</v>
      </c>
      <c r="F66" s="1054"/>
      <c r="G66" s="73"/>
      <c r="Q66" s="74">
        <v>35</v>
      </c>
    </row>
    <row r="67" ht="21" customHeight="1">
      <c r="A67" s="787"/>
      <c r="D67" s="410"/>
      <c r="E67" s="391" t="s">
        <v>73</v>
      </c>
      <c r="F67" s="2576" t="s">
        <v>74</v>
      </c>
      <c r="G67" s="77"/>
      <c r="Q67" s="74">
        <v>20</v>
      </c>
    </row>
    <row r="68" ht="21" customHeight="1">
      <c r="A68" s="787"/>
      <c r="B68" s="99"/>
      <c r="D68" s="82"/>
      <c r="E68" s="391" t="s">
        <v>75</v>
      </c>
      <c r="F68" s="271" t="s">
        <v>76</v>
      </c>
      <c r="G68" s="77"/>
      <c r="Q68" s="74">
        <v>20</v>
      </c>
    </row>
    <row r="69" ht="21" customHeight="1">
      <c r="A69" s="787"/>
      <c r="B69" s="99"/>
      <c r="D69" s="82"/>
      <c r="E69" s="391" t="s">
        <v>77</v>
      </c>
      <c r="F69" s="271" t="s">
        <v>78</v>
      </c>
      <c r="G69" s="77"/>
      <c r="Q69" s="74">
        <v>20</v>
      </c>
    </row>
    <row r="70" ht="21" customHeight="1">
      <c r="D70" s="410"/>
      <c r="E70" s="391" t="s">
        <v>79</v>
      </c>
      <c r="F70" s="271" t="s">
        <v>80</v>
      </c>
      <c r="G70" s="73"/>
      <c r="Q70" s="74">
        <v>20</v>
      </c>
    </row>
    <row r="71" ht="21" customHeight="1">
      <c r="A71" s="787"/>
      <c r="D71" s="73"/>
      <c r="F71" s="133"/>
      <c r="G71" s="77"/>
      <c r="Q71" s="74">
        <v>20</v>
      </c>
    </row>
    <row r="72" ht="21" customHeight="1">
      <c r="A72" s="787"/>
      <c r="B72" s="99"/>
      <c r="D72" s="82"/>
      <c r="E72" s="81"/>
      <c r="F72" s="1033" t="s">
        <v>13</v>
      </c>
      <c r="G72" s="77"/>
      <c r="Q72" s="74">
        <v>20</v>
      </c>
    </row>
    <row r="73" ht="21" customHeight="1">
      <c r="A73" s="787"/>
      <c r="B73" s="99"/>
      <c r="D73" s="82"/>
      <c r="E73" s="81"/>
      <c r="F73" s="134"/>
      <c r="G73" s="77"/>
      <c r="Q73" s="74">
        <v>20</v>
      </c>
    </row>
    <row r="74" ht="21" customHeight="1">
      <c r="A74" s="787"/>
      <c r="B74" s="99"/>
      <c r="D74" s="82"/>
      <c r="E74" s="86"/>
      <c r="F74" s="134"/>
      <c r="G74" s="77"/>
      <c r="Q74" s="74">
        <v>20</v>
      </c>
    </row>
    <row r="75" ht="21" customHeight="1">
      <c r="A75" s="787"/>
      <c r="B75" s="99"/>
      <c r="D75" s="82"/>
      <c r="E75" s="81"/>
      <c r="F75" s="134"/>
      <c r="G75" s="77"/>
      <c r="Q75" s="74">
        <v>20</v>
      </c>
    </row>
    <row r="76" ht="11.5" customHeight="1">
      <c r="Q76" s="74">
        <v>11</v>
      </c>
    </row>
    <row r="77" ht="11.5" customHeight="1">
      <c r="Q77" s="74">
        <v>11</v>
      </c>
    </row>
    <row r="78" ht="11.5" customHeight="1">
      <c r="E78" s="390"/>
      <c r="F78" s="390"/>
      <c r="G78" s="390"/>
      <c r="H78" s="390"/>
      <c r="I78" s="390"/>
      <c r="Q78" s="74">
        <v>11</v>
      </c>
    </row>
    <row r="79" ht="11.25" hidden="1" customHeight="1">
      <c r="A79" s="784" t="s">
        <v>81</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autoFilter="0" deleteColumns="0" deleteRows="0" formatColumns="0" formatRows="0" insertColumns="1" insertRows="0" sort="0"/>
  <mergeCells count="3">
    <mergeCell ref="E5:F5"/>
    <mergeCell ref="J18:J19"/>
    <mergeCell ref="A11:A12"/>
  </mergeCells>
  <dataValidations count="4">
    <dataValidation sqref="F26 F21 F18:F19 F11:F13" allowBlank="1" prompt="Выберите дату из календаря (иконка справа от указанной ячейки), либо введите дату непосредственно в ячейку в формате - 'ДД.ММ.ГГГГ'." showErrorMessage="1" showInputMessage="1"/>
    <dataValidation sqref="F49 F53 F56 F58 F51 F39:F41 F43 F45:F47 F62 F10" allowBlank="1" prompt="Для выбора выполните двойной щелчок левой клавиши мыши по соответствующей ячейке." showErrorMessage="1" showInputMessage="1"/>
    <dataValidation sqref="F54" allowBlank="1" prompt="Выберите значение из календаря (иконка справа от выбранной ячейки), либо введите дату непосредственно в ячейку в формате - 'ДД.ММ.ГГГГ'" showErrorMessage="1" showInputMessage="1"/>
    <dataValidation sqref="F31" allowBlank="1" prompt="Выбор организации двойным щелчком левой клавиши мыши" showErrorMessage="1" showInputMessage="1"/>
  </dataValidations>
  <hyperlinks>
    <hyperlink display="Как заполнить?" location="Титульный!H9" ref="H11" tooltip="Помощь по работе с полями отчётной формы"/>
    <hyperlink display="Как заполнить?" location="Титульный!H9" ref="H17" tooltip="Помощь по работе с полями отчётной формы"/>
    <hyperlink display="Как заполнить?" location="Титульный!H9" ref="H39" tooltip="Помощь по работе с полями отчётной формы"/>
    <hyperlink display="Как заполнить?" location="Титульный!H9" ref="H62" tooltip="Помощь по работе с полями отчётной формы"/>
  </hyperlinks>
  <pageMargins left="0.75" right="0.75" top="1" bottom="1" header="0.5" footer="0.5"/>
  <pageSetup paperSize="8" pageOrder="downThenOver" orientation="portrait"/>
  <headerFooter>
    <oddHeader>&amp;L&amp;C&amp;R</oddHeader>
    <oddFooter>&amp;L&amp;C&amp;R</oddFooter>
    <evenHeader>&amp;L&amp;C&amp;R</evenHeader>
    <evenFooter>&amp;L&amp;C&amp;R</evenFooter>
  </headerFooter>
  <drawing r:id="rId2"/>
  <legacyDrawing r:id="rId3"/>
  <extLst>
    <ext xmlns:x14="http://schemas.microsoft.com/office/spreadsheetml/2009/9/main" uri="{CCE6A557-97BC-4b89-ADB6-D9C93CAAB3DF}">
      <x14:dataValidations xmlns:xm="http://schemas.microsoft.com/office/excel/2006/main" count="9">
        <x14:dataValidation xr:uid="{006E00B9-008C-43DA-A34F-0003009D00CD}" type="textLength" allowBlank="1" error="Допускается ввод не более 900 символов!" errorTitle="Ошибка" operator="lessThanOrEqual" showErrorMessage="1" showInputMessage="1">
          <x14:formula1>
            <xm:f>900</xm:f>
          </x14:formula1>
          <xm:sqref>F72:F75 F64:F65 F67:F70 F22:F24 F27:F29 F32</xm:sqref>
        </x14:dataValidation>
        <x14:dataValidation xr:uid="{00750016-0001-4396-B2AB-002F000A0090}" type="list" allowBlank="1" error="Выберите значение из списка" errorTitle="Ошибка" prompt="Выберите значение из списка" showErrorMessage="1" showInputMessage="1">
          <x14:formula1>
            <xm:f>kind_of_NDS</xm:f>
          </x14:formula1>
          <xm:sqref>F61 F38</xm:sqref>
        </x14:dataValidation>
        <x14:dataValidation xr:uid="{00A300E8-00B2-43CE-9FC7-0039001D000C}" type="list" allowBlank="1" error="Выберите значение из списка" errorTitle="Ошибка" prompt="Выберите значение из списка" showErrorMessage="1" showInputMessage="1">
          <x14:formula1>
            <xm:f>kind_of_data_type</xm:f>
          </x14:formula1>
          <xm:sqref>F17</xm:sqref>
        </x14:dataValidation>
        <x14:dataValidation xr:uid="{005F0053-0021-4D92-B4F7-0084008300D4}" type="list" allowBlank="1" error="Выберите значение из списка" errorTitle="Ошибка" prompt="Выберите значение из списка" showErrorMessage="1" showInputMessage="1">
          <x14:formula1>
            <xm:f>kind_of_org_type</xm:f>
          </x14:formula1>
          <xm:sqref>F36</xm:sqref>
        </x14:dataValidation>
        <x14:dataValidation xr:uid="{00720008-00CC-48E2-A383-0013005600BF}" type="list" allowBlank="1" error="Выберите значение из списка" errorTitle="Ошибка" prompt="Выберите значение из списка" showErrorMessage="1" showInputMessage="1">
          <x14:formula1>
            <xm:f>year_list</xm:f>
          </x14:formula1>
          <xm:sqref>F14</xm:sqref>
        </x14:dataValidation>
        <x14:dataValidation xr:uid="{004500E2-00B4-4638-9C2D-009E003700D7}" type="list" allowBlank="1" error="Выберите значение из списка" errorTitle="Ошибка" prompt="Выберите значение из списка" showErrorMessage="1" showInputMessage="1">
          <x14:formula1>
            <xm:f>QUARTER</xm:f>
          </x14:formula1>
          <xm:sqref>F15</xm:sqref>
        </x14:dataValidation>
        <x14:dataValidation xr:uid="{00A20043-006B-4ECE-B595-0083001B00D2}" type="list" allowBlank="1" error="Выберите значение из списка" errorTitle="Ошибка" prompt="Выберите значение из списка" showErrorMessage="1" showInputMessage="1">
          <x14:formula1>
            <xm:f>TITLE_IP_DETAILED_METHOD_LIST</xm:f>
          </x14:formula1>
          <xm:sqref>F60</xm:sqref>
        </x14:dataValidation>
        <x14:dataValidation xr:uid="{00A700E0-00BB-4BE8-8363-006800C700EE}" type="list" allowBlank="1" error="Выберите значение из списка" errorTitle="Ошибка" prompt="Выберите значение из списка" showErrorMessage="1" showInputMessage="1">
          <x14:formula1>
            <xm:f>ROIV_INFO_LIST</xm:f>
          </x14:formula1>
          <xm:sqref>F9</xm:sqref>
        </x14:dataValidation>
        <x14:dataValidation xr:uid="{00970066-0049-48C0-814E-004100F40011}" type="list" allowBlank="1" error="Выберите значение из списка" errorTitle="Ошибка" prompt="Выберите значение из списка:&#10;ОСН - Общая система налогообложения&#10;УСН - Упрощённая система налогообложения&#10;ЕСХН - Единый сельскохозяйственный налог&#10;ПСН - Патентная система налогообложения&#10;НПД - Налог на профессиональный доход" showErrorMessage="1" showInputMessage="1">
          <x14:formula1>
            <xm:f>kind_of_NDS</xm:f>
          </x14:formula1>
          <xm:sqref>F37</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31"/>
    <pageSetUpPr fitToPage="1"/>
  </sheetPr>
  <sheetViews>
    <sheetView showGridLines="0" topLeftCell="A1" zoomScale="90" workbookViewId="0">
      <selection activeCell="G13" sqref="G13"/>
    </sheetView>
  </sheetViews>
  <sheetFormatPr defaultColWidth="9.140625" defaultRowHeight="14.25" customHeight="1"/>
  <cols>
    <col customWidth="1" hidden="1" min="1" max="1" style="1635" width="8.00390625"/>
    <col customWidth="1" hidden="1" min="2" max="2" style="1366" width="6.00390625"/>
    <col customWidth="1" min="3" max="3" style="1635" width="3.00390625"/>
    <col customWidth="1" min="4" max="4" style="1842" width="3.00390625"/>
    <col customWidth="1" min="5" max="5" style="1635" width="6.00390625"/>
    <col customWidth="1" hidden="1" min="6" max="6" style="1635" width="2.7109375"/>
    <col customWidth="1" min="7" max="7" style="1635" width="46.7109375"/>
    <col customWidth="1" min="8" max="8" style="1635" width="42.00390625"/>
    <col customWidth="1" min="9" max="9" style="1635" width="14.00390625"/>
    <col customWidth="1" min="10" max="10" style="1624" width="3.00390625"/>
    <col hidden="1" min="11" max="13" style="1624" width="9.140625"/>
    <col customWidth="1" hidden="1" min="14" max="14" style="1624" width="25.7109375"/>
    <col customWidth="1" hidden="1" min="15" max="15" style="1624" width="14.421875"/>
    <col hidden="1" min="16" max="19" style="225" width="9.140625"/>
    <col hidden="1" min="20" max="27" style="1635" width="9.140625"/>
    <col customWidth="1" min="28" max="28" style="1635" width="8.00390625"/>
    <col hidden="1" min="29" max="29" style="1635" width="9.140625"/>
  </cols>
  <sheetData>
    <row r="1" s="1642" customFormat="1" ht="5.25" hidden="1" customHeight="1">
      <c r="A1" s="496"/>
      <c r="B1" s="511"/>
      <c r="C1" s="511"/>
      <c r="D1" s="221"/>
      <c r="F1" s="511"/>
      <c r="G1" s="247" t="s">
        <v>82</v>
      </c>
      <c r="H1" s="494" t="s">
        <v>83</v>
      </c>
      <c r="I1" s="227" t="s">
        <v>84</v>
      </c>
      <c r="J1" s="247" t="s">
        <v>82</v>
      </c>
      <c r="K1" s="247"/>
      <c r="L1" s="247"/>
      <c r="M1" s="247"/>
      <c r="N1" s="248"/>
      <c r="O1" s="247"/>
      <c r="P1" s="247"/>
      <c r="Q1" s="247"/>
      <c r="R1" s="247"/>
      <c r="S1" s="247"/>
      <c r="T1" s="227"/>
      <c r="U1" s="227"/>
      <c r="V1" s="227"/>
      <c r="W1" s="227"/>
      <c r="X1" s="227"/>
      <c r="Y1" s="227"/>
      <c r="Z1" s="227"/>
      <c r="AA1" s="227"/>
      <c r="AB1" s="227"/>
      <c r="AC1" s="152" t="s">
        <v>14</v>
      </c>
    </row>
    <row r="2" s="1412" customFormat="1" ht="11.25" customHeight="1">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r="3" s="1819" customFormat="1" ht="3" customHeight="1">
      <c r="A3" s="758"/>
      <c r="B3" s="417"/>
      <c r="C3" s="758"/>
      <c r="D3" s="164"/>
      <c r="E3" s="103"/>
      <c r="F3" s="509"/>
      <c r="G3" s="103"/>
      <c r="H3" s="103"/>
      <c r="I3" s="166"/>
      <c r="J3" s="247"/>
      <c r="K3" s="155"/>
      <c r="L3" s="155"/>
      <c r="M3" s="155"/>
      <c r="N3" s="226"/>
      <c r="O3" s="155"/>
      <c r="P3" s="225"/>
      <c r="Q3" s="225"/>
      <c r="R3" s="225"/>
      <c r="S3" s="225"/>
      <c r="AC3" s="116">
        <v>3</v>
      </c>
    </row>
    <row r="4" s="1819" customFormat="1" ht="27.300000000000001" customHeight="1">
      <c r="A4" s="758"/>
      <c r="B4" s="417"/>
      <c r="C4" s="758"/>
      <c r="D4" s="164"/>
      <c r="E4" s="2100" t="str">
        <f>NameTemplatesInListMO</f>
        <v xml:space="preserve">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r="5" s="1819" customFormat="1" ht="3" customHeight="1">
      <c r="A5" s="758"/>
      <c r="B5" s="417"/>
      <c r="C5" s="758"/>
      <c r="D5" s="164"/>
      <c r="E5" s="103"/>
      <c r="F5" s="509"/>
      <c r="G5" s="167"/>
      <c r="H5" s="167"/>
      <c r="I5" s="168"/>
      <c r="J5" s="155"/>
      <c r="K5" s="155"/>
      <c r="L5" s="155"/>
      <c r="M5" s="155"/>
      <c r="N5" s="226"/>
      <c r="O5" s="155"/>
      <c r="P5" s="225"/>
      <c r="Q5" s="225"/>
      <c r="R5" s="225"/>
      <c r="S5" s="225"/>
      <c r="AC5" s="116">
        <v>3</v>
      </c>
    </row>
    <row r="6" s="1819" customFormat="1" ht="20.25" hidden="1" customHeight="1">
      <c r="A6" s="837"/>
      <c r="B6" s="833"/>
      <c r="C6" s="169"/>
      <c r="D6" s="164"/>
      <c r="E6" s="779"/>
      <c r="F6" s="779"/>
      <c r="G6" s="167"/>
      <c r="H6" s="170"/>
      <c r="I6" s="170"/>
      <c r="J6" s="155"/>
      <c r="K6" s="155"/>
      <c r="L6" s="155"/>
      <c r="M6" s="155"/>
      <c r="N6" s="226"/>
      <c r="O6" s="155"/>
      <c r="P6" s="225"/>
      <c r="Q6" s="225"/>
      <c r="R6" s="225"/>
      <c r="S6" s="225"/>
      <c r="AC6" s="116">
        <v>0</v>
      </c>
    </row>
    <row r="7" ht="25.5" hidden="1" customHeight="1">
      <c r="AC7" s="83">
        <v>0</v>
      </c>
    </row>
    <row r="8" s="1819" customFormat="1" ht="14.65" customHeight="1">
      <c r="A8" s="758"/>
      <c r="B8" s="417"/>
      <c r="C8" s="758"/>
      <c r="D8" s="164"/>
      <c r="E8" s="2101" t="s">
        <v>85</v>
      </c>
      <c r="F8" s="2102"/>
      <c r="G8" s="2103"/>
      <c r="H8" s="2104" t="s">
        <v>86</v>
      </c>
      <c r="I8" s="2104"/>
      <c r="J8" s="155"/>
      <c r="K8" s="155"/>
      <c r="L8" s="155"/>
      <c r="M8" s="155"/>
      <c r="N8" s="226"/>
      <c r="O8" s="155"/>
      <c r="P8" s="225"/>
      <c r="Q8" s="225"/>
      <c r="R8" s="225"/>
      <c r="S8" s="225"/>
      <c r="AC8" s="116">
        <v>14</v>
      </c>
    </row>
    <row r="9" s="1819" customFormat="1" ht="21" customHeight="1">
      <c r="A9" s="758"/>
      <c r="B9" s="417"/>
      <c r="C9" s="758"/>
      <c r="D9" s="164"/>
      <c r="E9" s="777" t="s">
        <v>87</v>
      </c>
      <c r="F9" s="777"/>
      <c r="G9" s="172" t="s">
        <v>88</v>
      </c>
      <c r="H9" s="172" t="s">
        <v>88</v>
      </c>
      <c r="I9" s="172" t="s">
        <v>84</v>
      </c>
      <c r="J9" s="155"/>
      <c r="K9" s="155"/>
      <c r="L9" s="155"/>
      <c r="M9" s="155"/>
      <c r="N9" s="226"/>
      <c r="O9" s="155"/>
      <c r="P9" s="225"/>
      <c r="Q9" s="225"/>
      <c r="R9" s="225"/>
      <c r="S9" s="225"/>
      <c r="AC9" s="116">
        <v>20</v>
      </c>
    </row>
    <row r="10" ht="11.5" customHeight="1">
      <c r="D10" s="176"/>
      <c r="E10" s="778" t="s">
        <v>89</v>
      </c>
      <c r="F10" s="778"/>
      <c r="G10" s="223" t="s">
        <v>90</v>
      </c>
      <c r="H10" s="223" t="s">
        <v>91</v>
      </c>
      <c r="I10" s="223" t="s">
        <v>92</v>
      </c>
      <c r="J10" s="186"/>
      <c r="K10" s="186"/>
      <c r="L10" s="186"/>
      <c r="M10" s="186"/>
      <c r="N10" s="171"/>
      <c r="O10" s="186"/>
      <c r="P10" s="224"/>
      <c r="Q10" s="224"/>
      <c r="R10" s="224"/>
      <c r="S10" s="224"/>
      <c r="AC10" s="83">
        <v>11</v>
      </c>
    </row>
    <row r="11" s="1819" customFormat="1" ht="1.05" customHeight="1">
      <c r="A11" s="758"/>
      <c r="B11" s="417"/>
      <c r="C11" s="758"/>
      <c r="D11" s="164"/>
      <c r="E11" s="790"/>
      <c r="F11" s="790"/>
      <c r="G11" s="173"/>
      <c r="H11" s="173"/>
      <c r="I11" s="175"/>
      <c r="J11" s="249" t="s">
        <v>93</v>
      </c>
      <c r="K11" s="155"/>
      <c r="L11" s="155"/>
      <c r="M11" s="155" t="s">
        <v>94</v>
      </c>
      <c r="N11" s="226" t="s">
        <v>95</v>
      </c>
      <c r="O11" s="155" t="s">
        <v>96</v>
      </c>
      <c r="P11" s="225"/>
      <c r="Q11" s="225"/>
      <c r="R11" s="225"/>
      <c r="S11" s="225"/>
      <c r="AC11" s="116">
        <v>1</v>
      </c>
    </row>
    <row r="12" s="1819" customFormat="1" ht="15" customHeight="1">
      <c r="A12" s="2099">
        <v>1</v>
      </c>
      <c r="B12" s="417"/>
      <c r="C12" s="758"/>
      <c r="D12" s="782"/>
      <c r="E12" s="219">
        <f>A12</f>
        <v>1</v>
      </c>
      <c r="F12" s="802" t="s">
        <v>97</v>
      </c>
      <c r="G12" s="540" t="str">
        <f>"Территория "&amp;E12</f>
        <v xml:space="preserve">Территория 1</v>
      </c>
      <c r="H12" s="792"/>
      <c r="I12" s="792"/>
      <c r="J12" s="789"/>
      <c r="K12" s="500"/>
      <c r="L12" s="500"/>
      <c r="M12" s="500"/>
      <c r="N12" s="226"/>
      <c r="O12" s="500"/>
      <c r="P12" s="225"/>
      <c r="Q12" s="225"/>
      <c r="R12" s="225"/>
      <c r="S12" s="225"/>
      <c r="AC12" s="507">
        <v>14</v>
      </c>
    </row>
    <row r="13" s="1850" customFormat="1" ht="15.75" customHeight="1">
      <c r="A13" s="2099"/>
      <c r="B13" s="417">
        <v>1</v>
      </c>
      <c r="C13" s="417"/>
      <c r="D13" s="800"/>
      <c r="E13" s="780" t="str">
        <f>A12&amp;"."&amp;B13</f>
        <v>1.1</v>
      </c>
      <c r="F13" s="795" t="s">
        <v>98</v>
      </c>
      <c r="G13" s="793" t="s">
        <v>99</v>
      </c>
      <c r="H13" s="793" t="s">
        <v>100</v>
      </c>
      <c r="I13" s="791" t="s">
        <v>101</v>
      </c>
      <c r="J13" s="500">
        <f>MERGEVALUE(G13)</f>
      </c>
      <c r="K13" s="511"/>
      <c r="L13" s="511"/>
      <c r="M13" s="500" t="str">
        <f t="array" ref="M13:M13">IF(ISERROR(MATCH(MID(N13,1,250),MID(note_ter,1,250),0)),"n","y")</f>
        <v>n</v>
      </c>
      <c r="N13" s="511"/>
      <c r="O13" s="500" t="str">
        <f>H13&amp;"("&amp;I13&amp;")"</f>
        <v>Новомичуринское(61625114)</v>
      </c>
      <c r="P13" s="417"/>
      <c r="Q13" s="417"/>
      <c r="R13" s="420"/>
      <c r="S13" s="417"/>
      <c r="T13" s="417"/>
      <c r="U13" s="417"/>
      <c r="V13" s="422"/>
      <c r="W13" s="422"/>
      <c r="X13" s="419"/>
      <c r="Y13" s="419"/>
      <c r="Z13" s="419"/>
      <c r="AA13" s="419"/>
      <c r="AB13" s="419"/>
      <c r="AC13" s="423">
        <v>15</v>
      </c>
    </row>
    <row r="14" s="1850" customFormat="1" ht="15.75" customHeight="1">
      <c r="A14" s="2099"/>
      <c r="B14" s="417"/>
      <c r="C14" s="412"/>
      <c r="D14" s="801"/>
      <c r="E14" s="421"/>
      <c r="F14" s="177"/>
      <c r="G14" s="415" t="s">
        <v>102</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r="15" s="1819" customFormat="1" ht="14.65" customHeight="1">
      <c r="A15" s="758"/>
      <c r="B15" s="417"/>
      <c r="C15" s="758"/>
      <c r="D15" s="782"/>
      <c r="E15" s="794"/>
      <c r="F15" s="178"/>
      <c r="G15" s="416" t="s">
        <v>103</v>
      </c>
      <c r="H15" s="178"/>
      <c r="I15" s="179"/>
      <c r="J15" s="249"/>
      <c r="K15" s="155"/>
      <c r="L15" s="155"/>
      <c r="M15" s="155"/>
      <c r="N15" s="226" t="s">
        <v>104</v>
      </c>
      <c r="O15" s="155"/>
      <c r="P15" s="225"/>
      <c r="Q15" s="225"/>
      <c r="R15" s="225"/>
      <c r="S15" s="225"/>
      <c r="AC15" s="116">
        <v>14</v>
      </c>
    </row>
    <row r="16" s="1819" customFormat="1" ht="22" customHeight="1">
      <c r="A16" s="758"/>
      <c r="B16" s="417"/>
      <c r="C16" s="758"/>
      <c r="D16" s="165"/>
      <c r="E16" s="180"/>
      <c r="F16" s="180"/>
      <c r="G16" s="180"/>
      <c r="H16" s="180"/>
      <c r="I16" s="180"/>
      <c r="J16" s="155"/>
      <c r="K16" s="155"/>
      <c r="L16" s="155"/>
      <c r="M16" s="155"/>
      <c r="N16" s="226"/>
      <c r="O16" s="155"/>
      <c r="P16" s="225"/>
      <c r="Q16" s="225"/>
      <c r="R16" s="225"/>
      <c r="S16" s="225"/>
      <c r="AC16" s="116">
        <v>21</v>
      </c>
    </row>
    <row r="17" s="1819" customFormat="1" ht="14.65" customHeight="1">
      <c r="A17" s="758"/>
      <c r="B17" s="417"/>
      <c r="C17" s="758"/>
      <c r="D17" s="165"/>
      <c r="E17" s="83"/>
      <c r="F17" s="758"/>
      <c r="G17" s="83"/>
      <c r="H17" s="83"/>
      <c r="I17" s="83"/>
      <c r="J17" s="155"/>
      <c r="K17" s="155"/>
      <c r="L17" s="155"/>
      <c r="M17" s="155"/>
      <c r="N17" s="226"/>
      <c r="O17" s="155"/>
      <c r="P17" s="225"/>
      <c r="Q17" s="225"/>
      <c r="R17" s="225"/>
      <c r="S17" s="225"/>
      <c r="AC17" s="116">
        <v>14</v>
      </c>
    </row>
    <row r="18" s="1819" customFormat="1" ht="1.05" customHeight="1">
      <c r="A18" s="758"/>
      <c r="B18" s="417"/>
      <c r="C18" s="758"/>
      <c r="D18" s="165"/>
      <c r="E18" s="83"/>
      <c r="F18" s="758"/>
      <c r="G18" s="83"/>
      <c r="H18" s="83"/>
      <c r="I18" s="83"/>
      <c r="J18" s="155"/>
      <c r="K18" s="155"/>
      <c r="L18" s="155"/>
      <c r="M18" s="155"/>
      <c r="N18" s="226"/>
      <c r="O18" s="155"/>
      <c r="P18" s="225"/>
      <c r="Q18" s="225"/>
      <c r="R18" s="225"/>
      <c r="S18" s="225"/>
      <c r="AC18" s="116">
        <v>1</v>
      </c>
    </row>
    <row r="19" s="1064" customFormat="1" ht="10.5" customHeight="1">
      <c r="B19" s="834"/>
      <c r="D19" s="182"/>
      <c r="J19" s="155"/>
      <c r="K19" s="155"/>
      <c r="L19" s="155"/>
      <c r="M19" s="155"/>
      <c r="N19" s="226"/>
      <c r="O19" s="155"/>
      <c r="P19" s="225"/>
      <c r="Q19" s="225"/>
      <c r="R19" s="225"/>
      <c r="S19" s="225"/>
      <c r="AC19" s="181">
        <v>10</v>
      </c>
    </row>
    <row r="20" s="1064" customFormat="1" ht="10.5" customHeight="1">
      <c r="B20" s="834"/>
      <c r="D20" s="182"/>
      <c r="J20" s="155"/>
      <c r="K20" s="155"/>
      <c r="L20" s="155"/>
      <c r="M20" s="155"/>
      <c r="N20" s="226"/>
      <c r="O20" s="155"/>
      <c r="P20" s="225"/>
      <c r="Q20" s="225"/>
      <c r="R20" s="225"/>
      <c r="S20" s="225"/>
      <c r="AC20" s="181">
        <v>10</v>
      </c>
    </row>
    <row r="21" ht="14.65" customHeight="1">
      <c r="AC21" s="83">
        <v>14</v>
      </c>
    </row>
    <row r="22" ht="14.65" customHeight="1">
      <c r="AC22" s="83">
        <v>14</v>
      </c>
    </row>
    <row r="23" ht="14.65" customHeight="1">
      <c r="AC23" s="83">
        <v>14</v>
      </c>
    </row>
    <row r="24" ht="14.65" customHeight="1">
      <c r="H24" s="64"/>
      <c r="AC24" s="83">
        <v>14</v>
      </c>
    </row>
    <row r="25" ht="14.65" customHeight="1">
      <c r="AC25" s="83">
        <v>14</v>
      </c>
    </row>
    <row r="26" ht="14.65" customHeight="1">
      <c r="AC26" s="83">
        <v>14</v>
      </c>
    </row>
    <row r="27" ht="14.65" customHeight="1">
      <c r="AC27" s="83">
        <v>14</v>
      </c>
    </row>
    <row r="28" ht="14.65" customHeight="1">
      <c r="J28" s="83"/>
      <c r="K28" s="83"/>
      <c r="L28" s="83"/>
      <c r="AC28" s="83">
        <v>14</v>
      </c>
    </row>
    <row r="29" ht="22.5" hidden="1" customHeight="1">
      <c r="A29" s="758" t="s">
        <v>81</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autoFilter="0" deleteColumns="0" deleteRows="0" formatColumns="0" formatRows="0" insertColumns="1" insertRows="0" sort="0"/>
  <mergeCells count="4">
    <mergeCell ref="A12:A14"/>
    <mergeCell ref="E4:I4"/>
    <mergeCell ref="E8:G8"/>
    <mergeCell ref="H8:I8"/>
  </mergeCells>
  <pageMargins left="0" right="0" top="0" bottom="0" header="0" footer="0.79000000000000004"/>
  <pageSetup paperSize="9" scale="93" fitToHeight="0" pageOrder="downThenOver" orientation="portrait" blackAndWhite="1"/>
  <headerFooter>
    <oddHeader>&amp;L&amp;C&amp;R</oddHeader>
    <oddFooter>&amp;L&amp;C&amp;R</oddFooter>
    <evenHeader>&amp;L&amp;C&amp;R</evenHeader>
    <evenFooter>&amp;L&amp;C&amp;R</evenFooter>
  </headerFooter>
  <drawing r:id="rId1"/>
  <extLst>
    <ext xmlns:x14="http://schemas.microsoft.com/office/spreadsheetml/2009/9/main" uri="{CCE6A557-97BC-4b89-ADB6-D9C93CAAB3DF}">
      <x14:dataValidations xmlns:xm="http://schemas.microsoft.com/office/excel/2006/main" count="1">
        <x14:dataValidation xr:uid="{008B00FE-00E7-4AB9-8B32-000500050080}" type="textLength" allowBlank="1" error="Допускается ввод не более 900 символов!" errorTitle="Ошибка" operator="lessThanOrEqual" showErrorMessage="1" showInputMessage="1">
          <x14:formula1>
            <xm:f>900</xm:f>
          </x14:formula1>
          <xm:sqref>G12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31"/>
  </sheetPr>
  <sheetViews>
    <sheetView showGridLines="0" topLeftCell="A1" zoomScale="90" workbookViewId="0">
      <selection activeCell="E16" sqref="E16:E18"/>
    </sheetView>
  </sheetViews>
  <sheetFormatPr defaultColWidth="9.140625" defaultRowHeight="11.25" customHeight="1"/>
  <cols>
    <col customWidth="1" hidden="1" min="1" max="1" style="1853" width="6.421875"/>
    <col customWidth="1" hidden="1" min="2" max="2" style="1853" width="2.00390625"/>
    <col customWidth="1" min="3" max="3" style="1853" width="3.00390625"/>
    <col customWidth="1" min="4" max="4" style="1853" width="4.00390625"/>
    <col customWidth="1" min="5" max="5" style="1853" width="44.00390625"/>
    <col customWidth="1" min="6" max="6" style="1853" width="6.421875"/>
    <col customWidth="1" min="7" max="7" style="1853" width="4.00390625"/>
    <col customWidth="1" min="8" max="8" style="1853" width="5.00390625"/>
    <col customWidth="1" min="9" max="9" style="1853" width="52.00390625"/>
    <col customWidth="1" min="10" max="10" style="1853" width="7.00390625"/>
    <col customWidth="1" min="11" max="11" style="1853" width="3.00390625"/>
    <col customWidth="1" min="12" max="12" style="1853" width="6.00390625"/>
    <col customWidth="1" min="13" max="13" style="1853" width="56.00390625"/>
    <col customWidth="1" min="14" max="14" style="1370" width="8.00390625"/>
    <col hidden="1" min="15" max="20" style="1624" width="9.140625"/>
    <col hidden="1" min="21" max="24" style="1266" width="9.140625"/>
    <col hidden="1" min="25" max="37" style="1370" width="9.140625"/>
    <col customWidth="1" min="38" max="38" style="1370" width="8.00390625"/>
    <col hidden="1" min="39" max="39" style="1853" width="9.140625"/>
  </cols>
  <sheetData>
    <row r="1" ht="11.25" hidden="1" customHeight="1">
      <c r="AM1" s="583" t="s">
        <v>14</v>
      </c>
    </row>
    <row r="2" ht="11.25" hidden="1" customHeight="1">
      <c r="AM2" s="583">
        <v>0</v>
      </c>
    </row>
    <row r="3" ht="11.5" customHeight="1">
      <c r="AM3" s="583">
        <v>11</v>
      </c>
    </row>
    <row r="4" ht="35.649999999999999" customHeight="1">
      <c r="A4" s="585"/>
      <c r="B4" s="585"/>
      <c r="D4" s="2119" t="str">
        <f>Титульный!E5</f>
        <v xml:space="preserve">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E4" s="2120"/>
      <c r="F4" s="2120"/>
      <c r="G4" s="2120"/>
      <c r="H4" s="2120"/>
      <c r="I4" s="2121"/>
      <c r="J4" s="584"/>
      <c r="K4" s="584"/>
      <c r="L4" s="584"/>
      <c r="M4" s="584"/>
      <c r="AM4" s="583">
        <v>34</v>
      </c>
    </row>
    <row r="5" s="589" customFormat="1" ht="14.65" customHeight="1">
      <c r="A5" s="585"/>
      <c r="B5" s="585"/>
      <c r="C5" s="585"/>
      <c r="D5" s="2122" t="str">
        <f>IF(org=0,"Не определено",org)</f>
        <v xml:space="preserve">филиал ПАО "ОГК-2" - Рязанская ГРЭС</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r="6" s="589" customFormat="1" ht="6.2999999999999998" customHeight="1">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r="7" ht="45.75" hidden="1" customHeight="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 xml:space="preserve">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r="8" s="589" customFormat="1" ht="6.2999999999999998" customHeight="1">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r="9" ht="18.75" customHeight="1">
      <c r="A9" s="2126"/>
      <c r="B9" s="323"/>
      <c r="C9" s="323"/>
      <c r="D9" s="2127" t="s">
        <v>105</v>
      </c>
      <c r="E9" s="2127"/>
      <c r="F9" s="2128" t="s">
        <v>106</v>
      </c>
      <c r="G9" s="2129"/>
      <c r="H9" s="2129"/>
      <c r="I9" s="2129"/>
      <c r="J9" s="2132" t="s">
        <v>107</v>
      </c>
      <c r="K9" s="2132"/>
      <c r="L9" s="2132"/>
      <c r="M9" s="2132"/>
      <c r="AM9" s="583">
        <v>18</v>
      </c>
    </row>
    <row r="10" ht="24" customHeight="1">
      <c r="A10" s="2126"/>
      <c r="B10" s="592"/>
      <c r="C10" s="525"/>
      <c r="D10" s="523" t="s">
        <v>87</v>
      </c>
      <c r="E10" s="523" t="s">
        <v>88</v>
      </c>
      <c r="F10" s="523" t="s">
        <v>108</v>
      </c>
      <c r="G10" s="2133" t="s">
        <v>87</v>
      </c>
      <c r="H10" s="2134"/>
      <c r="I10" s="523" t="s">
        <v>88</v>
      </c>
      <c r="J10" s="523" t="s">
        <v>108</v>
      </c>
      <c r="K10" s="2133" t="s">
        <v>87</v>
      </c>
      <c r="L10" s="2134"/>
      <c r="M10" s="523" t="s">
        <v>88</v>
      </c>
      <c r="N10" s="1627"/>
      <c r="AM10" s="583">
        <v>23</v>
      </c>
    </row>
    <row r="11" s="1853" customFormat="1" ht="11.25" hidden="1" customHeight="1">
      <c r="A11" s="593"/>
      <c r="B11" s="593"/>
      <c r="C11" s="593"/>
      <c r="D11" s="594" t="s">
        <v>109</v>
      </c>
      <c r="E11" s="594" t="s">
        <v>110</v>
      </c>
      <c r="F11" s="594" t="s">
        <v>89</v>
      </c>
      <c r="G11" s="2115" t="s">
        <v>90</v>
      </c>
      <c r="H11" s="2116"/>
      <c r="I11" s="594" t="s">
        <v>111</v>
      </c>
      <c r="J11" s="594" t="s">
        <v>91</v>
      </c>
      <c r="K11" s="2117" t="s">
        <v>92</v>
      </c>
      <c r="L11" s="2118"/>
      <c r="M11" s="594" t="s">
        <v>112</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r="12" ht="1.05" customHeight="1">
      <c r="A12" s="597"/>
      <c r="B12" s="598"/>
      <c r="C12" s="598"/>
      <c r="D12" s="599"/>
      <c r="E12" s="367"/>
      <c r="F12" s="600"/>
      <c r="G12" s="1059"/>
      <c r="H12" s="1059"/>
      <c r="I12" s="600"/>
      <c r="J12" s="600"/>
      <c r="K12" s="174"/>
      <c r="L12" s="367"/>
      <c r="M12" s="601"/>
      <c r="N12" s="1627"/>
      <c r="O12" s="1413" t="s">
        <v>113</v>
      </c>
      <c r="P12" s="1413" t="s">
        <v>114</v>
      </c>
      <c r="Q12" s="1413" t="s">
        <v>115</v>
      </c>
      <c r="R12" s="1413" t="s">
        <v>116</v>
      </c>
      <c r="AM12" s="583">
        <v>1</v>
      </c>
    </row>
    <row r="13" s="1853" customFormat="1" ht="15.75" customHeight="1">
      <c r="A13" s="293"/>
      <c r="B13" s="293"/>
      <c r="C13" s="526"/>
      <c r="D13" s="2108" t="s">
        <v>109</v>
      </c>
      <c r="E13" s="2109" t="str">
        <f>INDEX(VD_NAME_LIST,MATCH("4189714",VD_ID_LIST,0))</f>
        <v>Водоотведение</v>
      </c>
      <c r="F13" s="2112" t="s">
        <v>19</v>
      </c>
      <c r="G13" s="2113"/>
      <c r="H13" s="2114">
        <v>1</v>
      </c>
      <c r="I13" s="2629" t="s">
        <v>22</v>
      </c>
      <c r="J13" s="2107" t="s">
        <v>19</v>
      </c>
      <c r="K13" s="602"/>
      <c r="L13" s="527" t="s">
        <v>109</v>
      </c>
      <c r="M13" s="603" t="s">
        <v>22</v>
      </c>
      <c r="N13" s="812"/>
      <c r="O13" s="1416" t="s">
        <v>117</v>
      </c>
      <c r="P13" s="1413" t="str">
        <f>$E$13</f>
        <v>Водоотведение</v>
      </c>
      <c r="Q13" s="1413" t="str">
        <f>IF($F$13="нет","без дифференциации",$I$13)</f>
        <v xml:space="preserve">без дифференциации</v>
      </c>
      <c r="R13" s="1413" t="str">
        <f>IF($J$13="нет","без дифференциации",M13)</f>
        <v xml:space="preserve">без дифференциации</v>
      </c>
      <c r="S13" s="1416"/>
      <c r="T13" s="1416"/>
      <c r="U13" s="1266"/>
      <c r="V13" s="1266" t="s">
        <v>118</v>
      </c>
      <c r="W13" s="1266"/>
      <c r="X13" s="1266"/>
      <c r="Y13" s="604" t="s">
        <v>119</v>
      </c>
      <c r="Z13" s="604">
        <v>1705000</v>
      </c>
      <c r="AA13" s="604"/>
      <c r="AB13" s="604"/>
      <c r="AC13" s="604"/>
      <c r="AD13" s="604"/>
      <c r="AE13" s="604"/>
      <c r="AF13" s="604"/>
      <c r="AG13" s="604"/>
      <c r="AH13" s="604"/>
      <c r="AI13" s="604"/>
      <c r="AJ13" s="604"/>
      <c r="AK13" s="604"/>
      <c r="AL13" s="604"/>
      <c r="AM13" s="606">
        <v>15</v>
      </c>
    </row>
    <row r="14" s="1853" customFormat="1" ht="15.75" customHeight="1">
      <c r="A14" s="293"/>
      <c r="B14" s="293"/>
      <c r="C14" s="176"/>
      <c r="D14" s="2108"/>
      <c r="E14" s="2110"/>
      <c r="F14" s="2107"/>
      <c r="G14" s="2113"/>
      <c r="H14" s="2114"/>
      <c r="I14" s="2630" t="s">
        <v>22</v>
      </c>
      <c r="J14" s="2107"/>
      <c r="K14" s="421"/>
      <c r="L14" s="177"/>
      <c r="M14" s="607" t="s">
        <v>120</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r="15" s="1853" customFormat="1" ht="15.75" customHeight="1">
      <c r="A15" s="293"/>
      <c r="B15" s="293"/>
      <c r="C15" s="176"/>
      <c r="D15" s="2108"/>
      <c r="E15" s="2111"/>
      <c r="F15" s="2107"/>
      <c r="G15" s="1060"/>
      <c r="H15" s="1061"/>
      <c r="I15" s="580" t="s">
        <v>121</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r="16" ht="15" customHeight="1">
      <c r="A16" s="423"/>
      <c r="B16" s="423"/>
      <c r="C16" s="1728" t="s">
        <v>122</v>
      </c>
      <c r="D16" s="2108" t="s">
        <v>110</v>
      </c>
      <c r="E16" s="2109" t="str">
        <f>INDEX(VD_NAME_LIST,MATCH("4189713",VD_ID_LIST,0))</f>
        <v>Транспортировка</v>
      </c>
      <c r="F16" s="2107" t="s">
        <v>19</v>
      </c>
      <c r="G16" s="2557"/>
      <c r="H16" s="2127">
        <v>1</v>
      </c>
      <c r="I16" s="2559" t="str">
        <f>IF(U16="","",INDEX(TERRITORY_MR_LIST,MATCH(U16,TERRITORY_LIST_ID,0)))</f>
        <v/>
      </c>
      <c r="J16" s="2107" t="s">
        <v>19</v>
      </c>
      <c r="K16" s="832"/>
      <c r="L16" s="1782" t="s">
        <v>109</v>
      </c>
      <c r="M16" s="603"/>
      <c r="N16" s="604"/>
      <c r="O16" s="604" t="s">
        <v>123</v>
      </c>
      <c r="P16" s="604" t="str">
        <f>$E$16</f>
        <v>Транспортировка</v>
      </c>
      <c r="Q16" s="604" t="str">
        <f>IF($F$16="нет","без дифференциации",$I$16)</f>
        <v xml:space="preserve">без дифференциации</v>
      </c>
      <c r="R16" s="604" t="str">
        <f>IF($J$16="нет","без дифференциации",$M$16)</f>
        <v xml:space="preserve">без дифференциации</v>
      </c>
      <c r="S16" s="604"/>
      <c r="T16" s="604"/>
      <c r="U16" s="605"/>
      <c r="V16" s="604" t="s">
        <v>124</v>
      </c>
      <c r="W16" s="604"/>
      <c r="X16" s="595"/>
      <c r="Y16" s="595" t="s">
        <v>119</v>
      </c>
      <c r="Z16" s="595">
        <v>1705000</v>
      </c>
      <c r="AA16" s="595"/>
      <c r="AB16" s="595"/>
      <c r="AC16" s="595"/>
      <c r="AD16" s="595"/>
      <c r="AE16" s="595"/>
      <c r="AF16" s="595"/>
      <c r="AG16" s="595"/>
      <c r="AH16" s="595"/>
      <c r="AI16" s="595"/>
      <c r="AJ16" s="595"/>
      <c r="AK16" s="595"/>
      <c r="AL16" s="595"/>
      <c r="AM16" s="1853"/>
    </row>
    <row r="17" ht="15" customHeight="1">
      <c r="A17" s="423"/>
      <c r="B17" s="423"/>
      <c r="C17" s="176"/>
      <c r="D17" s="2108"/>
      <c r="E17" s="2110"/>
      <c r="F17" s="2107"/>
      <c r="G17" s="2558"/>
      <c r="H17" s="2127"/>
      <c r="I17" s="2560"/>
      <c r="J17" s="2107"/>
      <c r="K17" s="421"/>
      <c r="L17" s="177"/>
      <c r="M17" s="607" t="s">
        <v>120</v>
      </c>
      <c r="N17" s="604"/>
      <c r="O17" s="604"/>
      <c r="P17" s="604"/>
      <c r="Q17" s="604"/>
      <c r="R17" s="604"/>
      <c r="S17" s="604"/>
      <c r="T17" s="604"/>
      <c r="U17" s="605"/>
      <c r="V17" s="604"/>
      <c r="W17" s="604"/>
      <c r="X17" s="595"/>
      <c r="Y17" s="595"/>
      <c r="Z17" s="595"/>
      <c r="AA17" s="595"/>
      <c r="AB17" s="595"/>
      <c r="AC17" s="595"/>
      <c r="AD17" s="595"/>
      <c r="AE17" s="595"/>
      <c r="AF17" s="595"/>
      <c r="AG17" s="595"/>
      <c r="AH17" s="595"/>
      <c r="AI17" s="595"/>
      <c r="AJ17" s="595"/>
      <c r="AK17" s="595"/>
      <c r="AL17" s="595"/>
      <c r="AM17" s="1853"/>
    </row>
    <row r="18" ht="15" customHeight="1">
      <c r="A18" s="423"/>
      <c r="B18" s="423"/>
      <c r="C18" s="176"/>
      <c r="D18" s="2108"/>
      <c r="E18" s="2111"/>
      <c r="F18" s="2107"/>
      <c r="G18" s="421"/>
      <c r="H18" s="177"/>
      <c r="I18" s="580" t="s">
        <v>121</v>
      </c>
      <c r="J18" s="177"/>
      <c r="K18" s="177"/>
      <c r="L18" s="177"/>
      <c r="M18" s="608"/>
      <c r="N18" s="604"/>
      <c r="O18" s="604"/>
      <c r="P18" s="604"/>
      <c r="Q18" s="604"/>
      <c r="R18" s="604"/>
      <c r="S18" s="604"/>
      <c r="T18" s="604"/>
      <c r="U18" s="605"/>
      <c r="V18" s="604"/>
      <c r="W18" s="604"/>
      <c r="X18" s="595"/>
      <c r="Y18" s="595"/>
      <c r="Z18" s="595"/>
      <c r="AA18" s="595"/>
      <c r="AB18" s="595"/>
      <c r="AC18" s="595"/>
      <c r="AD18" s="595"/>
      <c r="AE18" s="595"/>
      <c r="AF18" s="595"/>
      <c r="AG18" s="595"/>
      <c r="AH18" s="595"/>
      <c r="AI18" s="595"/>
      <c r="AJ18" s="595"/>
      <c r="AK18" s="595"/>
      <c r="AL18" s="595"/>
      <c r="AM18" s="1853"/>
    </row>
    <row r="19" ht="15.75" customHeight="1">
      <c r="A19" s="609"/>
      <c r="B19" s="135"/>
      <c r="C19" s="806"/>
      <c r="D19" s="421"/>
      <c r="E19" s="571" t="s">
        <v>125</v>
      </c>
      <c r="F19" s="177"/>
      <c r="G19" s="177"/>
      <c r="H19" s="177"/>
      <c r="I19" s="177"/>
      <c r="J19" s="177"/>
      <c r="K19" s="177" t="s">
        <v>22</v>
      </c>
      <c r="L19" s="177"/>
      <c r="M19" s="608"/>
      <c r="N19" s="1627"/>
      <c r="AM19" s="583">
        <v>15</v>
      </c>
    </row>
    <row r="20" ht="11.25" hidden="1" customHeight="1">
      <c r="A20" s="583" t="s">
        <v>81</v>
      </c>
      <c r="B20" s="583">
        <v>0</v>
      </c>
      <c r="C20" s="583">
        <v>3</v>
      </c>
      <c r="D20" s="583">
        <v>4</v>
      </c>
      <c r="E20" s="583">
        <v>44</v>
      </c>
      <c r="F20" s="583">
        <v>6</v>
      </c>
      <c r="G20" s="583">
        <v>4</v>
      </c>
      <c r="H20" s="583">
        <v>5</v>
      </c>
      <c r="I20" s="583">
        <v>52</v>
      </c>
      <c r="J20" s="583">
        <v>6</v>
      </c>
      <c r="K20" s="583">
        <v>3</v>
      </c>
      <c r="L20" s="583">
        <v>6</v>
      </c>
      <c r="M20" s="583">
        <v>56</v>
      </c>
      <c r="N20" s="584">
        <v>8</v>
      </c>
      <c r="O20" s="1413">
        <v>0</v>
      </c>
      <c r="P20" s="1413">
        <v>0</v>
      </c>
      <c r="Q20" s="1413">
        <v>0</v>
      </c>
      <c r="R20" s="1413">
        <v>0</v>
      </c>
      <c r="S20" s="1413">
        <v>0</v>
      </c>
      <c r="T20" s="1413">
        <v>0</v>
      </c>
      <c r="U20" s="1263">
        <v>0</v>
      </c>
      <c r="V20" s="1263">
        <v>0</v>
      </c>
      <c r="W20" s="1263">
        <v>0</v>
      </c>
      <c r="X20" s="1263">
        <v>0</v>
      </c>
      <c r="Y20" s="584">
        <v>0</v>
      </c>
      <c r="Z20" s="584">
        <v>0</v>
      </c>
      <c r="AA20" s="584">
        <v>0</v>
      </c>
      <c r="AB20" s="584">
        <v>0</v>
      </c>
      <c r="AC20" s="584">
        <v>0</v>
      </c>
      <c r="AD20" s="584">
        <v>0</v>
      </c>
      <c r="AE20" s="584">
        <v>0</v>
      </c>
      <c r="AF20" s="584">
        <v>0</v>
      </c>
      <c r="AG20" s="584">
        <v>0</v>
      </c>
      <c r="AH20" s="584">
        <v>0</v>
      </c>
      <c r="AI20" s="584">
        <v>0</v>
      </c>
      <c r="AJ20" s="584">
        <v>0</v>
      </c>
      <c r="AK20" s="584">
        <v>0</v>
      </c>
      <c r="AL20" s="584">
        <v>8</v>
      </c>
      <c r="AM20" s="583">
        <v>11</v>
      </c>
    </row>
  </sheetData>
  <sheetProtection autoFilter="0" deleteColumns="0" deleteRows="0" formatColumns="0" formatRows="0" insertColumns="1" insertRows="0" sort="0"/>
  <mergeCells count="27">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 ref="D16:D18"/>
    <mergeCell ref="E16:E18"/>
    <mergeCell ref="F16:F18"/>
    <mergeCell ref="G16:G17"/>
    <mergeCell ref="H16:H17"/>
    <mergeCell ref="I16:I17"/>
    <mergeCell ref="J16:J17"/>
    <mergeCell ref="C16:C18"/>
  </mergeCells>
  <pageMargins left="0.69999999999999996" right="0.69999999999999996" top="0.75" bottom="0.75" header="0.29999999999999999" footer="0.29999999999999999"/>
  <pageSetup paperSize="9" pageOrder="downThenOver" orientation="portrait"/>
  <headerFooter>
    <oddHeader>&amp;L&amp;C&amp;R</oddHeader>
    <oddFooter>&amp;L&amp;C&amp;R</oddFooter>
    <evenHeader>&amp;L&amp;C&amp;R</evenHeader>
    <evenFooter>&amp;L&amp;C&amp;R</evenFooter>
  </headerFooter>
  <drawing r:id="rId1"/>
  <extLst>
    <ext xmlns:x14="http://schemas.microsoft.com/office/spreadsheetml/2009/9/main" uri="{CCE6A557-97BC-4b89-ADB6-D9C93CAAB3DF}">
      <x14:dataValidations xmlns:xm="http://schemas.microsoft.com/office/excel/2006/main" count="2">
        <x14:dataValidation xr:uid="{00DB0073-006E-47EC-B24F-002B00810003}" type="textLength" allowBlank="1" error="Допускается ввод не более 900 символов!" operator="lessThan" showErrorMessage="1" showInputMessage="1">
          <x14:formula1>
            <xm:f>900</xm:f>
          </x14:formula1>
          <xm:sqref>M13</xm:sqref>
        </x14:dataValidation>
        <x14:dataValidation xr:uid="{00A700C5-003C-4B96-9624-005C00DB0035}" type="textLength" allowBlank="1" error="Допускается ввод не более 900 символов!" operator="lessThan" showErrorMessage="1" showInputMessage="1">
          <x14:formula1>
            <xm:f>900</xm:f>
          </x14:formula1>
          <xm:sqref>M16</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31"/>
  </sheetPr>
  <sheetViews>
    <sheetView showGridLines="0" topLeftCell="A1" zoomScale="90" workbookViewId="0">
      <selection activeCell="A1" sqref="A1"/>
    </sheetView>
  </sheetViews>
  <sheetFormatPr defaultColWidth="9.140625" defaultRowHeight="11.25" customHeight="1"/>
  <cols>
    <col customWidth="1" hidden="1" min="1" max="2" style="1624" width="3.7109375"/>
    <col customWidth="1" min="3" max="3" style="1853" width="3.00390625"/>
    <col customWidth="1" min="4" max="4" style="1853" width="6.00390625"/>
    <col customWidth="1" min="5" max="5" style="1853" width="42.00390625"/>
    <col customWidth="1" min="6" max="6" style="1853" width="15.00390625"/>
    <col customWidth="1" min="7" max="7" style="1853" width="42.00390625"/>
    <col customWidth="1" min="8" max="8" style="1853" width="3.00390625"/>
    <col customWidth="1" min="9" max="9" style="1853" width="5.00390625"/>
    <col customWidth="1" min="10" max="10" style="1853" width="47.00390625"/>
    <col customWidth="1" min="11" max="12" style="1853" width="3.00390625"/>
    <col customWidth="1" min="13" max="13" style="1853" width="5.00390625"/>
    <col customWidth="1" min="14" max="14" style="1853" width="28.00390625"/>
    <col customWidth="1" min="15" max="16" style="1853" width="3.00390625"/>
    <col customWidth="1" min="17" max="17" style="1853" width="5.00390625"/>
    <col customWidth="1" min="18" max="18" style="1853" width="34.00390625"/>
    <col customWidth="1" hidden="1" min="19" max="20" style="1853" width="3.7109375"/>
    <col customWidth="1" hidden="1" min="21" max="21" style="1853" width="5.7109375"/>
    <col customWidth="1" hidden="1" min="22" max="22" style="1853" width="34.421875"/>
    <col customWidth="1" min="23" max="23" style="1853" width="30.00390625"/>
    <col customWidth="1" min="24" max="24" style="1853" width="3.00390625"/>
    <col customWidth="1" hidden="1" min="25" max="28" style="1266" width="9.8515625"/>
    <col customWidth="1" hidden="1" min="29" max="29" style="1266" width="27.00390625"/>
    <col customWidth="1" hidden="1" min="30" max="30" style="1266" width="10.57421875"/>
    <col customWidth="1" hidden="1" min="31" max="31" style="1266" width="10.7109375"/>
    <col customWidth="1" hidden="1" min="32" max="32" style="1266" width="10.00390625"/>
    <col customWidth="1" hidden="1" min="33" max="33" style="1266" width="12.8515625"/>
    <col customWidth="1" hidden="1" min="34" max="34" style="1266" width="24.421875"/>
    <col customWidth="1" hidden="1" min="35" max="35" style="1266" width="15.8515625"/>
    <col customWidth="1" hidden="1" min="36" max="36" style="1266" width="19.421875"/>
    <col customWidth="1" hidden="1" min="37" max="37" style="1266" width="11.00390625"/>
    <col customWidth="1" hidden="1" min="38" max="38" style="1266" width="23.57421875"/>
    <col customWidth="1" hidden="1" min="39" max="39" style="1266" width="23.8515625"/>
    <col customWidth="1" hidden="1" min="40" max="40" style="1266" width="25.28125"/>
    <col customWidth="1" hidden="1" min="41" max="41" style="1266" width="16.8515625"/>
    <col customWidth="1" hidden="1" min="42" max="42" style="1266" width="29.57421875"/>
    <col customWidth="1" hidden="1" min="43" max="43" style="1266" width="29.8515625"/>
    <col hidden="1" min="44" max="44" style="1853" width="9.140625"/>
  </cols>
  <sheetData>
    <row r="1" ht="11.25" hidden="1" customHeight="1">
      <c r="A1" s="156"/>
      <c r="AR1" s="104" t="s">
        <v>14</v>
      </c>
    </row>
    <row r="2" ht="11.25" hidden="1" customHeight="1">
      <c r="AR2" s="104">
        <v>0</v>
      </c>
    </row>
    <row r="3" ht="11.25" hidden="1" customHeight="1">
      <c r="AR3" s="104">
        <v>0</v>
      </c>
    </row>
    <row r="4" ht="3" customHeight="1">
      <c r="AR4" s="104">
        <v>3</v>
      </c>
    </row>
    <row r="5" s="589" customFormat="1" ht="30.449999999999999" customHeight="1">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 xml:space="preserve">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r="6" s="589" customFormat="1" ht="14.65" customHeight="1">
      <c r="A6" s="585"/>
      <c r="B6" s="585"/>
      <c r="C6" s="585"/>
      <c r="D6" s="2163" t="str">
        <f>IF(org=0,"Не определено",org)</f>
        <v xml:space="preserve">филиал ПАО "ОГК-2" - Рязанская ГРЭС</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r="7" s="299" customFormat="1" ht="11.5" customHeight="1">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r="8" s="589" customFormat="1" ht="1.05" customHeight="1">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r="9" ht="28.5" customHeight="1">
      <c r="D9" s="2127" t="s">
        <v>87</v>
      </c>
      <c r="E9" s="2101" t="s">
        <v>126</v>
      </c>
      <c r="F9" s="2103"/>
      <c r="G9" s="2127" t="s">
        <v>105</v>
      </c>
      <c r="H9" s="2127" t="s">
        <v>87</v>
      </c>
      <c r="I9" s="2127"/>
      <c r="J9" s="2127" t="s">
        <v>127</v>
      </c>
      <c r="K9" s="2155" t="s">
        <v>128</v>
      </c>
      <c r="L9" s="2155"/>
      <c r="M9" s="2155"/>
      <c r="N9" s="2155"/>
      <c r="O9" s="2155" t="s">
        <v>129</v>
      </c>
      <c r="P9" s="2155"/>
      <c r="Q9" s="2155"/>
      <c r="R9" s="2155"/>
      <c r="S9" s="2155" t="s">
        <v>130</v>
      </c>
      <c r="T9" s="2155"/>
      <c r="U9" s="2155"/>
      <c r="V9" s="2155"/>
      <c r="W9" s="2127" t="s">
        <v>131</v>
      </c>
      <c r="AR9" s="104">
        <v>27</v>
      </c>
    </row>
    <row r="10" ht="31.5" customHeight="1">
      <c r="D10" s="2127"/>
      <c r="E10" s="1284" t="s">
        <v>88</v>
      </c>
      <c r="F10" s="1284" t="s">
        <v>132</v>
      </c>
      <c r="G10" s="2127"/>
      <c r="H10" s="2127"/>
      <c r="I10" s="2127"/>
      <c r="J10" s="2127"/>
      <c r="K10" s="110" t="s">
        <v>108</v>
      </c>
      <c r="L10" s="2127" t="s">
        <v>87</v>
      </c>
      <c r="M10" s="2127"/>
      <c r="N10" s="110" t="s">
        <v>133</v>
      </c>
      <c r="O10" s="110" t="s">
        <v>108</v>
      </c>
      <c r="P10" s="2127" t="s">
        <v>87</v>
      </c>
      <c r="Q10" s="2127"/>
      <c r="R10" s="110" t="s">
        <v>133</v>
      </c>
      <c r="S10" s="283" t="s">
        <v>108</v>
      </c>
      <c r="T10" s="2127" t="s">
        <v>87</v>
      </c>
      <c r="U10" s="2127"/>
      <c r="V10" s="283" t="s">
        <v>88</v>
      </c>
      <c r="W10" s="2127"/>
      <c r="Z10" s="1259" t="s">
        <v>134</v>
      </c>
      <c r="AA10" s="1259" t="s">
        <v>135</v>
      </c>
      <c r="AB10" s="1259" t="s">
        <v>136</v>
      </c>
      <c r="AC10" s="1259" t="s">
        <v>137</v>
      </c>
      <c r="AD10" s="1259" t="s">
        <v>138</v>
      </c>
      <c r="AE10" s="1259" t="s">
        <v>139</v>
      </c>
      <c r="AF10" s="1259" t="s">
        <v>140</v>
      </c>
      <c r="AG10" s="1259" t="s">
        <v>141</v>
      </c>
      <c r="AH10" s="1259" t="s">
        <v>142</v>
      </c>
      <c r="AI10" s="1259" t="s">
        <v>143</v>
      </c>
      <c r="AJ10" s="1259" t="s">
        <v>144</v>
      </c>
      <c r="AK10" s="1259" t="s">
        <v>145</v>
      </c>
      <c r="AL10" s="1259" t="s">
        <v>146</v>
      </c>
      <c r="AM10" s="1259" t="s">
        <v>147</v>
      </c>
      <c r="AN10" s="1259" t="s">
        <v>148</v>
      </c>
      <c r="AO10" s="1259" t="s">
        <v>149</v>
      </c>
      <c r="AP10" s="1259" t="s">
        <v>150</v>
      </c>
      <c r="AQ10" s="1259" t="s">
        <v>151</v>
      </c>
      <c r="AR10" s="104">
        <v>30</v>
      </c>
    </row>
    <row r="11" s="1624" customFormat="1" ht="12" hidden="1" customHeight="1">
      <c r="D11" s="1249" t="s">
        <v>109</v>
      </c>
      <c r="E11" s="1249" t="s">
        <v>110</v>
      </c>
      <c r="F11" s="1249"/>
      <c r="G11" s="1249" t="s">
        <v>89</v>
      </c>
      <c r="H11" s="2156" t="s">
        <v>111</v>
      </c>
      <c r="I11" s="2156"/>
      <c r="J11" s="1249" t="s">
        <v>91</v>
      </c>
      <c r="K11" s="1249" t="s">
        <v>92</v>
      </c>
      <c r="L11" s="2156" t="s">
        <v>112</v>
      </c>
      <c r="M11" s="2156"/>
      <c r="N11" s="1249" t="s">
        <v>152</v>
      </c>
      <c r="O11" s="1249" t="s">
        <v>153</v>
      </c>
      <c r="P11" s="2156" t="s">
        <v>154</v>
      </c>
      <c r="Q11" s="2156"/>
      <c r="R11" s="1249" t="s">
        <v>155</v>
      </c>
      <c r="S11" s="1249" t="s">
        <v>154</v>
      </c>
      <c r="T11" s="2156" t="s">
        <v>155</v>
      </c>
      <c r="U11" s="2156"/>
      <c r="V11" s="1249" t="s">
        <v>156</v>
      </c>
      <c r="W11" s="1249" t="s">
        <v>157</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r="12" ht="14.25" hidden="1" customHeight="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r="13" s="1853" customFormat="1" ht="17.25" hidden="1" customHeight="1">
      <c r="A13" s="321"/>
      <c r="C13" s="209"/>
      <c r="D13" s="2135">
        <v>1</v>
      </c>
      <c r="E13" s="2143" t="s">
        <v>158</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159</v>
      </c>
      <c r="AD13" s="1267" t="s">
        <v>160</v>
      </c>
      <c r="AE13" s="1267" t="s">
        <v>161</v>
      </c>
      <c r="AF13" s="1267" t="s">
        <v>162</v>
      </c>
      <c r="AG13" s="1267" t="s">
        <v>163</v>
      </c>
      <c r="AH13" s="1267" t="str">
        <f>IF($E$13=0,"",$E$13)</f>
        <v xml:space="preserve">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r="14" s="1853" customFormat="1" ht="17.25" hidden="1" customHeight="1">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r="15" s="1853" customFormat="1" ht="17.25" hidden="1" customHeight="1">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r="16" s="1853" customFormat="1" ht="17.25" hidden="1" customHeight="1">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r="17" s="1853" customFormat="1" ht="17.25" hidden="1" customHeight="1">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r="18" s="1853" customFormat="1" ht="17.25" hidden="1" customHeight="1">
      <c r="A18" s="321"/>
      <c r="C18" s="209"/>
      <c r="D18" s="2135">
        <v>2</v>
      </c>
      <c r="E18" s="2164"/>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164</v>
      </c>
      <c r="AD18" s="1267" t="s">
        <v>165</v>
      </c>
      <c r="AE18" s="1267" t="s">
        <v>166</v>
      </c>
      <c r="AF18" s="1267" t="s">
        <v>167</v>
      </c>
      <c r="AG18" s="1267" t="s">
        <v>168</v>
      </c>
      <c r="AH18" s="1267" t="str">
        <f>IF($E$18=0,"",$E$18)</f>
        <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r="19" s="1853" customFormat="1" ht="17.25" hidden="1" customHeight="1">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r="20" s="1853" customFormat="1" ht="17.25" hidden="1" customHeight="1">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r="21" s="1853" customFormat="1" ht="17.25" hidden="1" customHeight="1">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r="22" s="1853" customFormat="1" ht="17.25" hidden="1" customHeight="1">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r="23" s="1853" customFormat="1" ht="17.25" hidden="1" customHeight="1">
      <c r="A23" s="321"/>
      <c r="C23" s="209"/>
      <c r="D23" s="2135">
        <v>2</v>
      </c>
      <c r="E23" s="2143" t="s">
        <v>169</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c r="AA23" s="1267"/>
      <c r="AB23" s="1267"/>
      <c r="AC23" s="1267" t="s">
        <v>164</v>
      </c>
      <c r="AD23" s="1267" t="s">
        <v>165</v>
      </c>
      <c r="AE23" s="1267" t="s">
        <v>166</v>
      </c>
      <c r="AF23" s="1267" t="s">
        <v>167</v>
      </c>
      <c r="AG23" s="1267" t="s">
        <v>168</v>
      </c>
      <c r="AH23" s="1267" t="str">
        <f>IF($E$23=0,"",$E$23)</f>
        <v xml:space="preserve">Тарифы на тепловую энергию (мощность), поставляемую теплоснабжающими организациями потребителям, другим теплоснабжающим организациям</v>
      </c>
      <c r="AI23" s="1267" t="str">
        <f>IF($G$23=0,"",$G$23)</f>
        <v/>
      </c>
      <c r="AJ23" s="1267" t="str">
        <f>IF($J$23=0,"",$J$23)</f>
        <v/>
      </c>
      <c r="AK23" s="1267" t="str">
        <f>IF($K$23="нет","без дифференциации",IF($N$23=0,"",$N$23))</f>
        <v/>
      </c>
      <c r="AL23" s="1267" t="str">
        <f>IF($O$23="нет","без дифференциации",IF($R$23=0,"",$R$23))</f>
        <v/>
      </c>
      <c r="AM23" s="1267" t="str">
        <f>IF($S$23="нет","без дифференциации",IF($V$23=0,"",$V$23))</f>
        <v/>
      </c>
      <c r="AN23" s="1772">
        <f>$I$23</f>
        <v>0</v>
      </c>
      <c r="AO23" s="1267" t="str">
        <f>$I$23&amp;"."&amp;$M$23</f>
        <v>.</v>
      </c>
      <c r="AP23" s="1266" t="str">
        <f>$I$23&amp;"."&amp;$M$23&amp;"."&amp;$Q$23</f>
        <v>..</v>
      </c>
      <c r="AQ23" s="1266" t="str">
        <f>$I$23&amp;"."&amp;$M$23&amp;"."&amp;$Q$23&amp;"."&amp;$U$23</f>
        <v>...</v>
      </c>
      <c r="AR23" s="1467">
        <v>0</v>
      </c>
    </row>
    <row r="24" s="1853" customFormat="1" ht="17.25" hidden="1" customHeight="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r="25" s="1853" customFormat="1" ht="17.25" hidden="1" customHeight="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r="26" s="1853" customFormat="1" ht="17.25" hidden="1" customHeight="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r="27" s="1853" customFormat="1" ht="17.25" hidden="1" customHeight="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r="28" s="1853" customFormat="1" ht="17.25" hidden="1" customHeight="1">
      <c r="A28" s="321"/>
      <c r="C28" s="209"/>
      <c r="D28" s="2135">
        <v>3</v>
      </c>
      <c r="E28" s="2143" t="s">
        <v>170</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171</v>
      </c>
      <c r="AD28" s="1267" t="s">
        <v>172</v>
      </c>
      <c r="AE28" s="1267" t="s">
        <v>173</v>
      </c>
      <c r="AF28" s="1267" t="s">
        <v>174</v>
      </c>
      <c r="AG28" s="1267" t="s">
        <v>175</v>
      </c>
      <c r="AH28" s="1267" t="str">
        <f>IF($E$28=0,"",$E$28)</f>
        <v xml:space="preserve">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r="29" s="1853" customFormat="1" ht="17.25" hidden="1" customHeight="1">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r="30" s="1853" customFormat="1" ht="17.25" hidden="1" customHeight="1">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r="31" s="1853" customFormat="1" ht="17.25" hidden="1" customHeight="1">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r="32" s="1853" customFormat="1" ht="17.25" hidden="1" customHeight="1">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r="33" s="1853" customFormat="1" ht="17.25" hidden="1" customHeight="1">
      <c r="A33" s="321"/>
      <c r="C33" s="209"/>
      <c r="D33" s="2135">
        <v>4</v>
      </c>
      <c r="E33" s="2143" t="s">
        <v>176</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177</v>
      </c>
      <c r="AD33" s="1267" t="s">
        <v>178</v>
      </c>
      <c r="AE33" s="1267" t="s">
        <v>179</v>
      </c>
      <c r="AF33" s="1267" t="s">
        <v>180</v>
      </c>
      <c r="AG33" s="1267" t="s">
        <v>181</v>
      </c>
      <c r="AH33" s="1267" t="str">
        <f>IF($E$33=0,"",$E$33)</f>
        <v xml:space="preserve">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r="34" s="1853" customFormat="1" ht="17.25" hidden="1" customHeight="1">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r="35" s="1853" customFormat="1" ht="17.25" hidden="1" customHeight="1">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r="36" s="1853" customFormat="1" ht="17.25" hidden="1" customHeight="1">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r="37" s="1853" customFormat="1" ht="17.25" hidden="1" customHeight="1">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r="38" s="1853" customFormat="1" ht="17.25" hidden="1" customHeight="1">
      <c r="A38" s="321"/>
      <c r="C38" s="209"/>
      <c r="D38" s="2135">
        <v>5</v>
      </c>
      <c r="E38" s="2143" t="s">
        <v>182</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183</v>
      </c>
      <c r="AD38" s="1267" t="s">
        <v>184</v>
      </c>
      <c r="AE38" s="1267" t="s">
        <v>185</v>
      </c>
      <c r="AF38" s="1267" t="s">
        <v>186</v>
      </c>
      <c r="AG38" s="1267" t="s">
        <v>187</v>
      </c>
      <c r="AH38" s="1267" t="str">
        <f>IF($E$38=0,"",$E$38)</f>
        <v xml:space="preserve">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r="39" s="1853" customFormat="1" ht="17.25" hidden="1" customHeight="1">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r="40" s="1853" customFormat="1" ht="17.25" hidden="1" customHeight="1">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r="41" s="1853" customFormat="1" ht="17.25" hidden="1" customHeight="1">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r="42" s="1853" customFormat="1" ht="17.25" hidden="1" customHeight="1">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r="43" s="1853" customFormat="1" ht="17.25" hidden="1" customHeight="1">
      <c r="A43" s="321"/>
      <c r="C43" s="209"/>
      <c r="D43" s="2135">
        <v>6</v>
      </c>
      <c r="E43" s="2143" t="s">
        <v>188</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189</v>
      </c>
      <c r="AD43" s="1267" t="s">
        <v>190</v>
      </c>
      <c r="AE43" s="1267" t="s">
        <v>191</v>
      </c>
      <c r="AF43" s="1267" t="s">
        <v>192</v>
      </c>
      <c r="AG43" s="1267" t="s">
        <v>193</v>
      </c>
      <c r="AH43" s="1267" t="str">
        <f>IF($E$43=0,"",$E$43)</f>
        <v xml:space="preserve">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r="44" s="1853" customFormat="1" ht="17.25" hidden="1" customHeight="1">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r="45" s="1853" customFormat="1" ht="17.25" hidden="1" customHeight="1">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r="46" s="1853" customFormat="1" ht="17.25" hidden="1" customHeight="1">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r="47" s="1853" customFormat="1" ht="17.25" hidden="1" customHeight="1">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r="48" s="1853" customFormat="1" ht="17.25" hidden="1" customHeight="1">
      <c r="A48" s="321"/>
      <c r="C48" s="209"/>
      <c r="D48" s="2166">
        <v>7</v>
      </c>
      <c r="E48" s="2169" t="s">
        <v>194</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195</v>
      </c>
      <c r="AD48" s="1267" t="s">
        <v>196</v>
      </c>
      <c r="AE48" s="1267" t="s">
        <v>197</v>
      </c>
      <c r="AF48" s="1267" t="s">
        <v>198</v>
      </c>
      <c r="AG48" s="1267" t="s">
        <v>199</v>
      </c>
      <c r="AH48" s="1267" t="str">
        <f>IF($E$48=0,"",$E$48)</f>
        <v xml:space="preserve">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r="49" s="1853" customFormat="1" ht="17.25" hidden="1" customHeight="1">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r="50" s="1853" customFormat="1" ht="17.25" hidden="1" customHeight="1">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r="51" s="1853" customFormat="1" ht="17.25" hidden="1" customHeight="1">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r="52" s="1853" customFormat="1" ht="17.25" hidden="1" customHeight="1">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r="53" s="1853" customFormat="1" ht="17.25" hidden="1" customHeight="1">
      <c r="A53" s="321"/>
      <c r="C53" s="209"/>
      <c r="D53" s="2135">
        <v>8</v>
      </c>
      <c r="E53" s="2143" t="s">
        <v>200</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201</v>
      </c>
      <c r="AD53" s="1267" t="s">
        <v>202</v>
      </c>
      <c r="AE53" s="1267" t="s">
        <v>203</v>
      </c>
      <c r="AF53" s="1267" t="s">
        <v>204</v>
      </c>
      <c r="AG53" s="1267" t="s">
        <v>205</v>
      </c>
      <c r="AH53" s="1267" t="str">
        <f>IF($E$53=0,"",$E$53)</f>
        <v xml:space="preserve">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r="54" s="1853" customFormat="1" ht="17.25" hidden="1" customHeight="1">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r="55" s="1853" customFormat="1" ht="17.25" hidden="1" customHeight="1">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r="56" s="1853" customFormat="1" ht="17.25" hidden="1" customHeight="1">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r="57" s="1853" customFormat="1" ht="17.25" hidden="1" customHeight="1">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r="58" s="1853" customFormat="1" ht="17.25" hidden="1" customHeight="1">
      <c r="A58" s="321"/>
      <c r="C58" s="209"/>
      <c r="D58" s="2135">
        <v>9</v>
      </c>
      <c r="E58" s="2143" t="s">
        <v>206</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207</v>
      </c>
      <c r="AD58" s="1267" t="s">
        <v>208</v>
      </c>
      <c r="AE58" s="1267" t="s">
        <v>209</v>
      </c>
      <c r="AF58" s="1267" t="s">
        <v>210</v>
      </c>
      <c r="AG58" s="1267" t="s">
        <v>211</v>
      </c>
      <c r="AH58" s="1267" t="str">
        <f>IF($E$58=0,"",$E$58)</f>
        <v xml:space="preserve">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r="59" s="1853" customFormat="1" ht="17.25" hidden="1" customHeight="1">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r="60" s="1853" customFormat="1" ht="17.25" hidden="1" customHeight="1">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r="61" s="1853" customFormat="1" ht="17.25" hidden="1" customHeight="1">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r="62" s="1853" customFormat="1" ht="17.25" hidden="1" customHeight="1">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r="63" s="1853" customFormat="1" ht="17.25" hidden="1" customHeight="1">
      <c r="A63" s="321"/>
      <c r="C63" s="209"/>
      <c r="D63" s="2135">
        <v>10</v>
      </c>
      <c r="E63" s="2143" t="s">
        <v>212</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213</v>
      </c>
      <c r="AD63" s="1267" t="s">
        <v>214</v>
      </c>
      <c r="AE63" s="1267" t="s">
        <v>215</v>
      </c>
      <c r="AF63" s="1267" t="s">
        <v>216</v>
      </c>
      <c r="AG63" s="1267" t="s">
        <v>217</v>
      </c>
      <c r="AH63" s="1267" t="str">
        <f>IF($E$63=0,"",$E$63)</f>
        <v xml:space="preserve">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r="64" s="1853" customFormat="1" ht="17.25" hidden="1" customHeight="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r="65" s="1853" customFormat="1" ht="17.25" hidden="1" customHeight="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r="66" s="1853" customFormat="1" ht="17.25" hidden="1" customHeight="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r="67" s="1853" customFormat="1" ht="17.25" hidden="1" customHeight="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r="68" ht="11.25" hidden="1" customHeight="1">
      <c r="AR68" s="104">
        <v>0</v>
      </c>
    </row>
    <row r="69" ht="11.25" hidden="1" customHeight="1">
      <c r="E69" s="2174" t="s">
        <v>218</v>
      </c>
      <c r="F69" s="2174"/>
      <c r="G69" s="2174"/>
      <c r="H69" s="2174"/>
      <c r="I69" s="2174"/>
      <c r="J69" s="2174"/>
      <c r="K69" s="2174"/>
      <c r="L69" s="2174"/>
      <c r="M69" s="2174"/>
      <c r="N69" s="2174"/>
      <c r="O69" s="2174"/>
      <c r="P69" s="2174"/>
      <c r="Q69" s="2174"/>
      <c r="R69" s="2174"/>
      <c r="S69" s="2174"/>
      <c r="T69" s="2174"/>
      <c r="U69" s="2174"/>
      <c r="V69" s="2174"/>
      <c r="W69" s="2174"/>
      <c r="AR69" s="104">
        <v>0</v>
      </c>
    </row>
    <row r="70" ht="36.75" hidden="1" customHeight="1">
      <c r="E70" s="2172" t="s">
        <v>219</v>
      </c>
      <c r="F70" s="2172"/>
      <c r="G70" s="2173"/>
      <c r="H70" s="2173"/>
      <c r="I70" s="2173"/>
      <c r="J70" s="2173"/>
      <c r="K70" s="2173"/>
      <c r="L70" s="2173"/>
      <c r="M70" s="2173"/>
      <c r="N70" s="2173"/>
      <c r="O70" s="2173"/>
      <c r="P70" s="2173"/>
      <c r="Q70" s="2173"/>
      <c r="R70" s="2173"/>
      <c r="S70" s="2173"/>
      <c r="T70" s="2173"/>
      <c r="U70" s="2173"/>
      <c r="V70" s="2173"/>
      <c r="W70" s="2173"/>
      <c r="AR70" s="104">
        <v>0</v>
      </c>
    </row>
    <row r="71" ht="28.5" hidden="1" customHeight="1">
      <c r="E71" s="2172" t="s">
        <v>220</v>
      </c>
      <c r="F71" s="2172"/>
      <c r="G71" s="2173"/>
      <c r="H71" s="2173"/>
      <c r="I71" s="2173"/>
      <c r="J71" s="2173"/>
      <c r="K71" s="2173"/>
      <c r="L71" s="2173"/>
      <c r="M71" s="2173"/>
      <c r="N71" s="2173"/>
      <c r="O71" s="2173"/>
      <c r="P71" s="2173"/>
      <c r="Q71" s="2173"/>
      <c r="R71" s="2173"/>
      <c r="S71" s="2173"/>
      <c r="T71" s="2173"/>
      <c r="U71" s="2173"/>
      <c r="V71" s="2173"/>
      <c r="W71" s="2173"/>
      <c r="AR71" s="104">
        <v>0</v>
      </c>
    </row>
    <row r="72" ht="27" hidden="1" customHeight="1">
      <c r="E72" s="2172" t="s">
        <v>221</v>
      </c>
      <c r="F72" s="2172"/>
      <c r="G72" s="2173"/>
      <c r="H72" s="2173"/>
      <c r="I72" s="2173"/>
      <c r="J72" s="2173"/>
      <c r="K72" s="2173"/>
      <c r="L72" s="2173"/>
      <c r="M72" s="2173"/>
      <c r="N72" s="2173"/>
      <c r="O72" s="2173"/>
      <c r="P72" s="2173"/>
      <c r="Q72" s="2173"/>
      <c r="R72" s="2173"/>
      <c r="S72" s="2173"/>
      <c r="T72" s="2173"/>
      <c r="U72" s="2173"/>
      <c r="V72" s="2173"/>
      <c r="W72" s="2173"/>
      <c r="AR72" s="104">
        <v>0</v>
      </c>
    </row>
    <row r="73" ht="17.25" hidden="1" customHeight="1">
      <c r="E73" s="2172" t="s">
        <v>222</v>
      </c>
      <c r="F73" s="2172"/>
      <c r="G73" s="2173"/>
      <c r="H73" s="2173"/>
      <c r="I73" s="2173"/>
      <c r="J73" s="2173"/>
      <c r="K73" s="2173"/>
      <c r="L73" s="2173"/>
      <c r="M73" s="2173"/>
      <c r="N73" s="2173"/>
      <c r="O73" s="2173"/>
      <c r="P73" s="2173"/>
      <c r="Q73" s="2173"/>
      <c r="R73" s="2173"/>
      <c r="S73" s="2173"/>
      <c r="T73" s="2173"/>
      <c r="U73" s="2173"/>
      <c r="V73" s="2173"/>
      <c r="W73" s="2173"/>
      <c r="AR73" s="104">
        <v>0</v>
      </c>
    </row>
    <row r="74" ht="15" hidden="1" customHeight="1">
      <c r="E74" s="340"/>
      <c r="F74" s="1285"/>
      <c r="G74" s="157"/>
      <c r="H74" s="157"/>
      <c r="I74" s="157"/>
      <c r="J74" s="157"/>
      <c r="K74" s="157"/>
      <c r="L74" s="157"/>
      <c r="M74" s="157"/>
      <c r="N74" s="157"/>
      <c r="O74" s="157"/>
      <c r="P74" s="157"/>
      <c r="Q74" s="157"/>
      <c r="R74" s="157"/>
      <c r="S74" s="157"/>
      <c r="T74" s="157"/>
      <c r="U74" s="157"/>
      <c r="V74" s="157"/>
      <c r="W74" s="157"/>
      <c r="AR74" s="104">
        <v>0</v>
      </c>
    </row>
    <row r="75" ht="15" hidden="1" customHeight="1">
      <c r="E75" s="2174" t="s">
        <v>223</v>
      </c>
      <c r="F75" s="2174"/>
      <c r="G75" s="2174"/>
      <c r="H75" s="2174"/>
      <c r="I75" s="2174"/>
      <c r="J75" s="2174"/>
      <c r="K75" s="2174"/>
      <c r="L75" s="2174"/>
      <c r="M75" s="2174"/>
      <c r="N75" s="2174"/>
      <c r="O75" s="2174"/>
      <c r="P75" s="2174"/>
      <c r="Q75" s="2174"/>
      <c r="R75" s="2174"/>
      <c r="S75" s="2174"/>
      <c r="T75" s="2174"/>
      <c r="U75" s="2174"/>
      <c r="V75" s="2174"/>
      <c r="W75" s="2174"/>
      <c r="AR75" s="104">
        <v>0</v>
      </c>
    </row>
    <row r="76" ht="17.25" hidden="1" customHeight="1">
      <c r="E76" s="2172" t="s">
        <v>224</v>
      </c>
      <c r="F76" s="2172"/>
      <c r="G76" s="2173"/>
      <c r="H76" s="2173"/>
      <c r="I76" s="2173"/>
      <c r="J76" s="2173"/>
      <c r="K76" s="2173"/>
      <c r="L76" s="2173"/>
      <c r="M76" s="2173"/>
      <c r="N76" s="2173"/>
      <c r="O76" s="2173"/>
      <c r="P76" s="2173"/>
      <c r="Q76" s="2173"/>
      <c r="R76" s="2173"/>
      <c r="S76" s="2173"/>
      <c r="T76" s="2173"/>
      <c r="U76" s="2173"/>
      <c r="V76" s="2173"/>
      <c r="W76" s="2173"/>
      <c r="AR76" s="104">
        <v>0</v>
      </c>
    </row>
    <row r="77" ht="17.25" hidden="1" customHeight="1">
      <c r="E77" s="2172" t="s">
        <v>225</v>
      </c>
      <c r="F77" s="2172"/>
      <c r="G77" s="2173"/>
      <c r="H77" s="2173"/>
      <c r="I77" s="2173"/>
      <c r="J77" s="2173"/>
      <c r="K77" s="2173"/>
      <c r="L77" s="2173"/>
      <c r="M77" s="2173"/>
      <c r="N77" s="2173"/>
      <c r="O77" s="2173"/>
      <c r="P77" s="2173"/>
      <c r="Q77" s="2173"/>
      <c r="R77" s="2173"/>
      <c r="S77" s="2173"/>
      <c r="T77" s="2173"/>
      <c r="U77" s="2173"/>
      <c r="V77" s="2173"/>
      <c r="W77" s="2173"/>
      <c r="AR77" s="104">
        <v>0</v>
      </c>
    </row>
    <row r="78" s="1853" customFormat="1" ht="11.25" hidden="1" customHeight="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r="79" s="1853" customFormat="1" ht="17.25" hidden="1" customHeight="1">
      <c r="A79" s="321"/>
      <c r="C79" s="209"/>
      <c r="D79" s="2135">
        <v>1</v>
      </c>
      <c r="E79" s="2143" t="s">
        <v>226</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227</v>
      </c>
      <c r="AD79" s="1267" t="s">
        <v>228</v>
      </c>
      <c r="AE79" s="1267" t="s">
        <v>229</v>
      </c>
      <c r="AF79" s="1267" t="s">
        <v>230</v>
      </c>
      <c r="AG79" s="1267"/>
      <c r="AH79" s="1267" t="str">
        <f>IF($E$79=0,"",$E$79)</f>
        <v xml:space="preserve">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r="80" s="1853" customFormat="1" ht="17.25" hidden="1" customHeight="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r="81" s="1853" customFormat="1" ht="17.25" hidden="1" customHeight="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r="82" s="1853" customFormat="1" ht="17.25" hidden="1" customHeight="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r="83" s="1853" customFormat="1" ht="17.25" hidden="1" customHeight="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r="84" s="1853" customFormat="1" ht="17.25" hidden="1" customHeight="1">
      <c r="A84" s="321"/>
      <c r="C84" s="209"/>
      <c r="D84" s="2135">
        <v>2</v>
      </c>
      <c r="E84" s="2143" t="s">
        <v>231</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232</v>
      </c>
      <c r="AD84" s="1267" t="s">
        <v>233</v>
      </c>
      <c r="AE84" s="1267" t="s">
        <v>234</v>
      </c>
      <c r="AF84" s="1267" t="s">
        <v>235</v>
      </c>
      <c r="AG84" s="1267"/>
      <c r="AH84" s="1267" t="str">
        <f>IF($E$84=0,"",$E$84)</f>
        <v xml:space="preserve">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r="85" s="1853" customFormat="1" ht="17.25" hidden="1" customHeight="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r="86" s="1853" customFormat="1" ht="17.25" hidden="1" customHeight="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r="87" s="1853" customFormat="1" ht="17.25" hidden="1" customHeight="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r="88" s="1853" customFormat="1" ht="17.25" hidden="1" customHeight="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r="89" s="1853" customFormat="1" ht="17.25" hidden="1" customHeight="1">
      <c r="A89" s="321"/>
      <c r="C89" s="209"/>
      <c r="D89" s="2135">
        <v>3</v>
      </c>
      <c r="E89" s="2143" t="s">
        <v>236</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237</v>
      </c>
      <c r="AD89" s="1267" t="s">
        <v>238</v>
      </c>
      <c r="AE89" s="1267" t="s">
        <v>239</v>
      </c>
      <c r="AF89" s="1267" t="s">
        <v>240</v>
      </c>
      <c r="AG89" s="1267"/>
      <c r="AH89" s="1267" t="str">
        <f>IF($E$89=0,"",$E$89)</f>
        <v xml:space="preserve">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r="90" s="1853" customFormat="1" ht="17.25" hidden="1" customHeight="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r="91" s="1853" customFormat="1" ht="17.25" hidden="1" customHeight="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r="92" s="1853" customFormat="1" ht="17.25" hidden="1" customHeight="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r="93" s="1853" customFormat="1" ht="17.25" hidden="1" customHeight="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r="94" s="1853" customFormat="1" ht="17.25" hidden="1" customHeight="1">
      <c r="A94" s="321"/>
      <c r="C94" s="209"/>
      <c r="D94" s="2135">
        <v>4</v>
      </c>
      <c r="E94" s="2143" t="s">
        <v>241</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242</v>
      </c>
      <c r="AD94" s="1267" t="s">
        <v>243</v>
      </c>
      <c r="AE94" s="1267" t="s">
        <v>244</v>
      </c>
      <c r="AF94" s="1267" t="s">
        <v>245</v>
      </c>
      <c r="AG94" s="1267"/>
      <c r="AH94" s="1267" t="str">
        <f>IF($E$94=0,"",$E$94)</f>
        <v xml:space="preserve">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r="95" s="1853" customFormat="1" ht="17.25" hidden="1" customHeight="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r="96" s="1853" customFormat="1" ht="17.25" hidden="1" customHeight="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r="97" s="1853" customFormat="1" ht="17.25" hidden="1" customHeight="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r="98" s="1853" customFormat="1" ht="17.25" hidden="1" customHeight="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r="99" s="1853" customFormat="1" ht="17.25" hidden="1" customHeight="1">
      <c r="A99" s="321"/>
      <c r="C99" s="209"/>
      <c r="D99" s="2135">
        <v>5</v>
      </c>
      <c r="E99" s="2143" t="s">
        <v>246</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247</v>
      </c>
      <c r="AD99" s="1267" t="s">
        <v>248</v>
      </c>
      <c r="AE99" s="1267" t="s">
        <v>249</v>
      </c>
      <c r="AF99" s="1267" t="s">
        <v>250</v>
      </c>
      <c r="AG99" s="1267"/>
      <c r="AH99" s="1267" t="str">
        <f>IF($E$99=0,"",$E$99)</f>
        <v xml:space="preserve">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r="100" s="1853" customFormat="1" ht="17.25" hidden="1" customHeight="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r="101" s="1853" customFormat="1" ht="17.25" hidden="1" customHeight="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r="102" s="1853" customFormat="1" ht="17.25" hidden="1" customHeight="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r="103" s="1853" customFormat="1" ht="17.25" hidden="1" customHeight="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r="104" s="1853" customFormat="1" ht="11.25" hidden="1" customHeight="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r="105" s="1853" customFormat="1" ht="17.25" hidden="1" customHeight="1">
      <c r="A105" s="321"/>
      <c r="C105" s="209"/>
      <c r="D105" s="2135">
        <v>1</v>
      </c>
      <c r="E105" s="2143" t="s">
        <v>251</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252</v>
      </c>
      <c r="AD105" s="1267" t="s">
        <v>253</v>
      </c>
      <c r="AE105" s="1267" t="s">
        <v>254</v>
      </c>
      <c r="AF105" s="1267" t="s">
        <v>255</v>
      </c>
      <c r="AG105" s="1267"/>
      <c r="AH105" s="1267" t="str">
        <f>IF($E$105=0,"",$E$105)</f>
        <v xml:space="preserve">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r="106" s="1853" customFormat="1" ht="17.25" hidden="1" customHeight="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r="107" s="1853" customFormat="1" ht="17.25" hidden="1" customHeight="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r="108" s="1853" customFormat="1" ht="17.25" hidden="1" customHeight="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r="109" s="1853" customFormat="1" ht="17.25" hidden="1" customHeight="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r="110" s="1853" customFormat="1" ht="17.25" hidden="1" customHeight="1">
      <c r="A110" s="321"/>
      <c r="C110" s="209"/>
      <c r="D110" s="2135">
        <v>2</v>
      </c>
      <c r="E110" s="2143" t="s">
        <v>256</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257</v>
      </c>
      <c r="AD110" s="1267" t="s">
        <v>258</v>
      </c>
      <c r="AE110" s="1267" t="s">
        <v>259</v>
      </c>
      <c r="AF110" s="1267" t="s">
        <v>260</v>
      </c>
      <c r="AG110" s="1267"/>
      <c r="AH110" s="1267" t="str">
        <f>IF($E$110=0,"",$E$110)</f>
        <v xml:space="preserve">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r="111" s="1853" customFormat="1" ht="17.25" hidden="1" customHeight="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r="112" s="1853" customFormat="1" ht="17.25" hidden="1" customHeight="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r="113" s="1853" customFormat="1" ht="17.25" hidden="1" customHeight="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r="114" s="1853" customFormat="1" ht="17.25" hidden="1" customHeight="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r="115" s="1853" customFormat="1" ht="17.25" hidden="1" customHeight="1">
      <c r="A115" s="321"/>
      <c r="C115" s="209"/>
      <c r="D115" s="2135">
        <v>3</v>
      </c>
      <c r="E115" s="2143" t="s">
        <v>261</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262</v>
      </c>
      <c r="AD115" s="1267" t="s">
        <v>263</v>
      </c>
      <c r="AE115" s="1267" t="s">
        <v>264</v>
      </c>
      <c r="AF115" s="1267" t="s">
        <v>265</v>
      </c>
      <c r="AG115" s="1267"/>
      <c r="AH115" s="1267" t="str">
        <f>IF($E$115=0,"",$E$115)</f>
        <v xml:space="preserve">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r="116" s="1853" customFormat="1" ht="17.25" hidden="1" customHeight="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r="117" s="1853" customFormat="1" ht="17.25" hidden="1" customHeight="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r="118" s="1853" customFormat="1" ht="17.25" hidden="1" customHeight="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r="119" s="1853" customFormat="1" ht="17.25" hidden="1" customHeight="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r="120" s="1853" customFormat="1" ht="11.25" hidden="1" customHeight="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r="121" s="1853" customFormat="1" ht="17.25" hidden="1" customHeight="1">
      <c r="A121" s="321"/>
      <c r="C121" s="209"/>
      <c r="D121" s="2135">
        <v>1</v>
      </c>
      <c r="E121" s="2143" t="s">
        <v>266</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267</v>
      </c>
      <c r="AD121" s="1267" t="s">
        <v>268</v>
      </c>
      <c r="AE121" s="1267" t="s">
        <v>269</v>
      </c>
      <c r="AF121" s="1267" t="s">
        <v>270</v>
      </c>
      <c r="AG121" s="1267"/>
      <c r="AH121" s="1267" t="str">
        <f>IF($E$121=0,"",$E$121)</f>
        <v xml:space="preserve">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r="122" s="1853" customFormat="1" ht="17.25" hidden="1" customHeight="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r="123" s="1853" customFormat="1" ht="17.25" hidden="1" customHeight="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r="124" s="1853" customFormat="1" ht="17.25" hidden="1" customHeight="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r="125" s="1853" customFormat="1" ht="17.25" hidden="1" customHeight="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r="126" s="1853" customFormat="1" ht="17.25" hidden="1" customHeight="1">
      <c r="A126" s="321"/>
      <c r="C126" s="209"/>
      <c r="D126" s="2135">
        <v>2</v>
      </c>
      <c r="E126" s="2143" t="s">
        <v>271</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272</v>
      </c>
      <c r="AD126" s="1267" t="s">
        <v>273</v>
      </c>
      <c r="AE126" s="1267" t="s">
        <v>274</v>
      </c>
      <c r="AF126" s="1267" t="s">
        <v>275</v>
      </c>
      <c r="AG126" s="1267"/>
      <c r="AH126" s="1267" t="str">
        <f>IF($E$126=0,"",$E$126)</f>
        <v xml:space="preserve">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r="127" s="1853" customFormat="1" ht="17.25" hidden="1" customHeight="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r="128" s="1853" customFormat="1" ht="17.25" hidden="1" customHeight="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r="129" s="1853" customFormat="1" ht="17.25" hidden="1" customHeight="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r="130" s="1853" customFormat="1" ht="17.25" hidden="1" customHeight="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r="131" s="1853" customFormat="1" ht="17.25" hidden="1" customHeight="1">
      <c r="A131" s="321"/>
      <c r="C131" s="209"/>
      <c r="D131" s="2135">
        <v>3</v>
      </c>
      <c r="E131" s="2143" t="s">
        <v>276</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277</v>
      </c>
      <c r="AD131" s="1267" t="s">
        <v>278</v>
      </c>
      <c r="AE131" s="1267" t="s">
        <v>279</v>
      </c>
      <c r="AF131" s="1267" t="s">
        <v>280</v>
      </c>
      <c r="AG131" s="1267"/>
      <c r="AH131" s="1267" t="str">
        <f>IF($E$131=0,"",$E$131)</f>
        <v xml:space="preserve">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r="132" s="1853" customFormat="1" ht="17.25" hidden="1" customHeight="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r="133" s="1853" customFormat="1" ht="17.25" hidden="1" customHeight="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r="134" s="1853" customFormat="1" ht="17.25" hidden="1" customHeight="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r="135" s="1853" customFormat="1" ht="17.25" hidden="1" customHeight="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r="136" ht="11.5" customHeight="1">
      <c r="AR136" s="104">
        <v>11</v>
      </c>
    </row>
    <row r="137" ht="11.5" customHeight="1">
      <c r="AR137" s="104">
        <v>11</v>
      </c>
    </row>
    <row r="138" ht="11.5" customHeight="1">
      <c r="AR138" s="104">
        <v>11</v>
      </c>
    </row>
    <row r="139" ht="11.5" customHeight="1">
      <c r="E139" s="1350"/>
      <c r="AR139" s="104">
        <v>11</v>
      </c>
    </row>
    <row r="140" ht="11.5" customHeight="1">
      <c r="E140" s="1350"/>
      <c r="AR140" s="104">
        <v>11</v>
      </c>
    </row>
    <row r="141" ht="11.5" customHeight="1">
      <c r="E141" s="1350"/>
      <c r="AR141" s="104">
        <v>11</v>
      </c>
    </row>
    <row r="142" ht="11.5" customHeight="1">
      <c r="E142" s="1350"/>
      <c r="AR142" s="104">
        <v>11</v>
      </c>
    </row>
    <row r="143" ht="11.5" customHeight="1">
      <c r="E143" s="1350"/>
      <c r="AR143" s="104">
        <v>11</v>
      </c>
    </row>
    <row r="144" ht="11.5" customHeight="1">
      <c r="E144" s="1350"/>
      <c r="AR144" s="104">
        <v>11</v>
      </c>
    </row>
    <row r="145" ht="11.5" customHeight="1">
      <c r="E145" s="1350"/>
      <c r="AR145" s="104">
        <v>11</v>
      </c>
    </row>
    <row r="146" ht="11.25" hidden="1" customHeight="1">
      <c r="A146" s="153" t="s">
        <v>81</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autoFilter="0" deleteColumns="0" deleteRows="0" formatColumns="0" formatRows="0" insertColumns="1" insertRows="0" sort="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2">
    <dataValidation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allowBlank="1" prompt="Для выбора выполните двойной щелчок левой клавиши мыши по соответствующей ячейке." showErrorMessage="1" showInputMessage="1"/>
    <dataValidation sqref="G105:G119 G121:G135 G79:G103 G13:G67" allowBlank="1" prompt="Выберите виды деятельности, выполнив двойной щелчок левой кнопки мыши по ячейке." showErrorMessage="1" showInputMessage="1"/>
  </dataValidations>
  <pageMargins left="0.69999999999999996" right="0.69999999999999996" top="0.75" bottom="0.75" header="0.29999999999999999" footer="0.29999999999999999"/>
  <pageSetup paperSize="9"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3">
        <x14:dataValidation xr:uid="{00D00088-0002-414F-B22A-009B00060030}" type="textLength" allowBlank="1" error="Допускается ввод не более 900 символов!" errorTitle="Ошибка" operator="lessThanOrEqual" showErrorMessage="1" showInputMessage="1">
          <x14:formula1>
            <xm:f>900</xm:f>
          </x14:formula1>
          <xm: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xm:sqref>
        </x14:dataValidation>
        <x14:dataValidation xr:uid="{0078004C-0087-4375-A726-0089008D0007}" type="list" allowBlank="1" error="Выберите значение из списка" errorTitle="Ошиб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howErrorMessage="1" showInputMessage="1">
          <x14:formula1>
            <xm:f>DESCRIPTION_TERRITORY</xm:f>
          </x14:formula1>
          <xm:sqref>N48:N50 N18:N20 N43:N45 N28:N30 N38:N40 N13:N15 N33:N35 N79:N81 N94:N96 N84:N86 N89:N91 N53:N55 N105:N107 N110:N112 N126:N128 N121:N123 N58:N60 N63:N65 N99:N101 N115:N117 N131:N133 N23:N25</xm:sqref>
        </x14:dataValidation>
        <x14:dataValidation xr:uid="{001B00CF-00BC-45E6-AA25-004900770008}" type="list" allowBlank="1" error="Выберите значение из списка" errorTitle="Ошибка" prompt="Выберите значение из списка" showErrorMessage="1" showInputMessage="1">
          <x14:formula1>
            <xm:f>kind_of_tariff_RHEAT</xm:f>
          </x14:formula1>
          <xm:sqref>E18:E22</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31"/>
  </sheetPr>
  <sheetViews>
    <sheetView showGridLines="0" topLeftCell="A1" zoomScale="90" workbookViewId="0">
      <selection activeCell="A1" sqref="A1"/>
    </sheetView>
  </sheetViews>
  <sheetFormatPr defaultColWidth="9.140625" defaultRowHeight="11.25" customHeight="1"/>
  <cols>
    <col hidden="1" min="1" max="2" style="1850" width="9.140625"/>
    <col customWidth="1" min="3" max="4" style="1850" width="3.00390625"/>
    <col customWidth="1" min="5" max="6" style="1850" width="15.00390625"/>
    <col customWidth="1" min="7" max="7" style="1850" width="11.57421875"/>
    <col customWidth="1" min="8" max="9" style="1850" width="3.00390625"/>
    <col customWidth="1" min="10" max="10" style="1850" width="12.00390625"/>
    <col customWidth="1" min="11" max="11" style="1850" width="0.28125"/>
    <col customWidth="1" min="12" max="13" style="1850" width="10.00390625"/>
    <col customWidth="1" min="14" max="15" style="1850" width="3.00390625"/>
    <col customWidth="1" min="16" max="16" style="1850" width="19.00390625"/>
    <col customWidth="1" min="17" max="17" style="1850" width="0.28125"/>
    <col customWidth="1" min="18" max="19" style="1850" width="10.00390625"/>
    <col customWidth="1" min="20" max="21" style="1850" width="3.00390625"/>
    <col customWidth="1" min="22" max="22" style="1850" width="25.00390625"/>
    <col customWidth="1" min="23" max="23" style="1850" width="0.28125"/>
    <col customWidth="1" min="24" max="25" style="1850" width="10.00390625"/>
    <col customWidth="1" min="26" max="27" style="1850" width="3.00390625"/>
    <col customWidth="1" min="28" max="28" style="1850" width="16.00390625"/>
    <col customWidth="1" min="29" max="29" style="1850" width="0.28125"/>
    <col customWidth="1" min="30" max="31" style="1850" width="10.00390625"/>
    <col customWidth="1" min="32" max="33" style="1850" width="3.00390625"/>
    <col customWidth="1" min="34" max="34" style="1850" width="8.00390625"/>
    <col customWidth="1" min="35" max="35" style="1850" width="21.00390625"/>
    <col customWidth="1" min="36" max="36" style="1850" width="8.00390625"/>
    <col customWidth="1" min="37" max="37" style="358" width="8.00390625"/>
    <col customWidth="1" min="38" max="64" style="1850" width="8.00390625"/>
    <col hidden="1" min="65" max="65" style="1850" width="9.140625"/>
  </cols>
  <sheetData>
    <row r="1" s="1316" customFormat="1" ht="11.25" hidden="1" customHeight="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r="2" s="1553" customFormat="1" ht="11.25" hidden="1" customHeight="1">
      <c r="L2" s="1553" t="s">
        <v>281</v>
      </c>
      <c r="M2" s="1553" t="s">
        <v>282</v>
      </c>
      <c r="R2" s="1553" t="s">
        <v>283</v>
      </c>
      <c r="S2" s="1553" t="s">
        <v>282</v>
      </c>
      <c r="X2" s="1553" t="s">
        <v>281</v>
      </c>
      <c r="Y2" s="1553" t="s">
        <v>282</v>
      </c>
      <c r="AD2" s="1553" t="s">
        <v>281</v>
      </c>
      <c r="AE2" s="1553" t="s">
        <v>282</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r="3" s="1554" customFormat="1" ht="11.5" customHeight="1">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r="4" s="1819" customFormat="1" ht="34.5" customHeight="1">
      <c r="A4" s="1156"/>
      <c r="B4" s="1155"/>
      <c r="C4" s="1515"/>
      <c r="D4" s="2191" t="s">
        <v>284</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r="5" s="1819" customFormat="1" ht="14.65" customHeight="1">
      <c r="A5" s="1632"/>
      <c r="B5" s="1631"/>
      <c r="C5" s="1515"/>
      <c r="D5" s="2176" t="str">
        <f>IF(org=0,"Не определено",org)</f>
        <v xml:space="preserve">филиал ПАО "ОГК-2" - Рязанская ГРЭС</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r="6" s="1819" customFormat="1" ht="14.65" customHeight="1">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r="7" s="1316" customFormat="1" ht="1.05" customHeight="1">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r="8" ht="33.75" customHeight="1">
      <c r="D8" s="2127" t="s">
        <v>87</v>
      </c>
      <c r="E8" s="2127" t="s">
        <v>105</v>
      </c>
      <c r="F8" s="2192" t="s">
        <v>126</v>
      </c>
      <c r="G8" s="2193"/>
      <c r="H8" s="2192" t="s">
        <v>87</v>
      </c>
      <c r="I8" s="2193"/>
      <c r="J8" s="2127" t="s">
        <v>127</v>
      </c>
      <c r="K8" s="1556"/>
      <c r="L8" s="2196" t="s">
        <v>285</v>
      </c>
      <c r="M8" s="2196"/>
      <c r="N8" s="2196"/>
      <c r="O8" s="2196"/>
      <c r="P8" s="2196"/>
      <c r="Q8" s="1557"/>
      <c r="R8" s="2096" t="s">
        <v>286</v>
      </c>
      <c r="S8" s="2197"/>
      <c r="T8" s="2197"/>
      <c r="U8" s="2197"/>
      <c r="V8" s="2197"/>
      <c r="W8" s="1557"/>
      <c r="X8" s="2198" t="s">
        <v>287</v>
      </c>
      <c r="Y8" s="2198"/>
      <c r="Z8" s="2198"/>
      <c r="AA8" s="2198"/>
      <c r="AB8" s="2198"/>
      <c r="AC8" s="1558"/>
      <c r="AD8" s="2127" t="s">
        <v>288</v>
      </c>
      <c r="AE8" s="2127"/>
      <c r="AF8" s="2127"/>
      <c r="AG8" s="2127"/>
      <c r="AH8" s="2101"/>
      <c r="AI8" s="2127" t="s">
        <v>289</v>
      </c>
      <c r="AJ8" s="1574"/>
      <c r="BM8" s="293">
        <v>32</v>
      </c>
    </row>
    <row r="9" ht="23.25" customHeight="1">
      <c r="D9" s="2127"/>
      <c r="E9" s="2127"/>
      <c r="F9" s="2175" t="s">
        <v>88</v>
      </c>
      <c r="G9" s="2175" t="s">
        <v>132</v>
      </c>
      <c r="H9" s="2194"/>
      <c r="I9" s="2195"/>
      <c r="J9" s="2101"/>
      <c r="K9" s="1559"/>
      <c r="L9" s="2127" t="s">
        <v>290</v>
      </c>
      <c r="M9" s="2101"/>
      <c r="N9" s="2192" t="s">
        <v>87</v>
      </c>
      <c r="O9" s="2193"/>
      <c r="P9" s="2127" t="s">
        <v>133</v>
      </c>
      <c r="Q9" s="1556"/>
      <c r="R9" s="2127" t="s">
        <v>290</v>
      </c>
      <c r="S9" s="2101"/>
      <c r="T9" s="2192" t="s">
        <v>87</v>
      </c>
      <c r="U9" s="2193"/>
      <c r="V9" s="2127" t="s">
        <v>133</v>
      </c>
      <c r="W9" s="1556"/>
      <c r="X9" s="2127" t="s">
        <v>290</v>
      </c>
      <c r="Y9" s="2101"/>
      <c r="Z9" s="2192" t="s">
        <v>87</v>
      </c>
      <c r="AA9" s="2193"/>
      <c r="AB9" s="2127" t="s">
        <v>291</v>
      </c>
      <c r="AC9" s="1556"/>
      <c r="AD9" s="2127" t="s">
        <v>290</v>
      </c>
      <c r="AE9" s="2101"/>
      <c r="AF9" s="2192" t="s">
        <v>87</v>
      </c>
      <c r="AG9" s="2193"/>
      <c r="AH9" s="2101" t="s">
        <v>291</v>
      </c>
      <c r="AI9" s="2127"/>
      <c r="AJ9" s="1574"/>
      <c r="BM9" s="293">
        <v>22</v>
      </c>
    </row>
    <row r="10" ht="24" customHeight="1">
      <c r="D10" s="2175"/>
      <c r="E10" s="2175"/>
      <c r="F10" s="2199"/>
      <c r="G10" s="2199"/>
      <c r="H10" s="2200"/>
      <c r="I10" s="2201"/>
      <c r="J10" s="2192"/>
      <c r="K10" s="1559"/>
      <c r="L10" s="1578" t="s">
        <v>292</v>
      </c>
      <c r="M10" s="1573" t="s">
        <v>293</v>
      </c>
      <c r="N10" s="2194"/>
      <c r="O10" s="2195"/>
      <c r="P10" s="2175"/>
      <c r="Q10" s="1556"/>
      <c r="R10" s="1578" t="s">
        <v>292</v>
      </c>
      <c r="S10" s="1573" t="s">
        <v>293</v>
      </c>
      <c r="T10" s="2194"/>
      <c r="U10" s="2195"/>
      <c r="V10" s="2175"/>
      <c r="W10" s="1556"/>
      <c r="X10" s="1578" t="s">
        <v>292</v>
      </c>
      <c r="Y10" s="1573" t="s">
        <v>293</v>
      </c>
      <c r="Z10" s="2194"/>
      <c r="AA10" s="2195"/>
      <c r="AB10" s="2175"/>
      <c r="AC10" s="1556"/>
      <c r="AD10" s="1578" t="s">
        <v>292</v>
      </c>
      <c r="AE10" s="1573" t="s">
        <v>293</v>
      </c>
      <c r="AF10" s="2194"/>
      <c r="AG10" s="2195"/>
      <c r="AH10" s="2192"/>
      <c r="AI10" s="2175"/>
      <c r="AJ10" s="1574"/>
      <c r="AK10" s="254" t="s">
        <v>294</v>
      </c>
      <c r="AL10" s="254" t="s">
        <v>134</v>
      </c>
      <c r="BM10" s="293">
        <v>23</v>
      </c>
    </row>
    <row r="11" ht="15" customHeight="1">
      <c r="D11" s="2183" t="s">
        <v>109</v>
      </c>
      <c r="E11" s="2179" t="s">
        <v>295</v>
      </c>
      <c r="F11" s="2179" t="s">
        <v>296</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r="12" ht="14.65" customHeight="1">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r="13" ht="14.65" customHeight="1">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r="14" ht="14.65" customHeight="1">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r="15" ht="11.5" customHeight="1">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r="16" s="1554" customFormat="1" ht="11.5" customHeight="1">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r="17" ht="15" customHeight="1">
      <c r="D17" s="2183" t="s">
        <v>110</v>
      </c>
      <c r="E17" s="2179" t="s">
        <v>295</v>
      </c>
      <c r="F17" s="2179" t="s">
        <v>297</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r="18" ht="14.65" customHeight="1">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r="19" ht="14.65" customHeight="1">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r="20" ht="14.65" customHeight="1">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r="21" ht="11.5" customHeight="1">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r="22" s="1554" customFormat="1" ht="11.5" customHeight="1">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r="23" ht="15" customHeight="1">
      <c r="D23" s="2183" t="s">
        <v>89</v>
      </c>
      <c r="E23" s="2179" t="s">
        <v>295</v>
      </c>
      <c r="F23" s="2179" t="s">
        <v>298</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97</v>
      </c>
      <c r="BM23" s="293">
        <v>14</v>
      </c>
    </row>
    <row r="24" ht="14.65" customHeight="1">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r="25" ht="14.65" customHeight="1">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r="26" ht="14.65" customHeight="1">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r="27" ht="11.5" customHeight="1">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r="28" s="1554" customFormat="1" ht="11.5" customHeight="1">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r="29" ht="15" customHeight="1">
      <c r="D29" s="2183" t="s">
        <v>90</v>
      </c>
      <c r="E29" s="2179" t="s">
        <v>295</v>
      </c>
      <c r="F29" s="2179" t="s">
        <v>299</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r="30" ht="14.65" customHeight="1">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r="31" ht="14.65" customHeight="1">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r="32" ht="14.65" customHeight="1">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r="33" ht="11.5" customHeight="1">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r="34" s="1554" customFormat="1" ht="11.5" customHeight="1">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r="35" ht="15" customHeight="1">
      <c r="D35" s="2183" t="s">
        <v>111</v>
      </c>
      <c r="E35" s="2179" t="s">
        <v>295</v>
      </c>
      <c r="F35" s="2179" t="s">
        <v>300</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r="36" ht="14.65" customHeight="1">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r="37" ht="14.65" customHeight="1">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r="38" ht="14.65" customHeight="1">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r="39" ht="11.5" customHeight="1">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r="40" s="1554" customFormat="1" ht="11.5" customHeight="1">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r="41" ht="11.5" customHeight="1">
      <c r="AK41" s="423"/>
      <c r="BM41" s="293">
        <v>11</v>
      </c>
    </row>
    <row r="42" ht="11.5" customHeight="1">
      <c r="AK42" s="423"/>
      <c r="BM42" s="293">
        <v>11</v>
      </c>
    </row>
    <row r="43" ht="11.5" customHeight="1">
      <c r="AK43" s="423"/>
      <c r="BM43" s="293">
        <v>11</v>
      </c>
    </row>
    <row r="44" ht="11.5" customHeight="1">
      <c r="AK44" s="423"/>
      <c r="BM44" s="293">
        <v>11</v>
      </c>
    </row>
    <row r="45" ht="11.5" customHeight="1">
      <c r="AK45" s="423"/>
      <c r="BM45" s="293">
        <v>11</v>
      </c>
    </row>
    <row r="46" ht="11.5" customHeight="1">
      <c r="AK46" s="423"/>
      <c r="BM46" s="293">
        <v>11</v>
      </c>
    </row>
    <row r="47" ht="11.5" customHeight="1">
      <c r="AK47" s="423"/>
      <c r="BM47" s="293">
        <v>11</v>
      </c>
    </row>
    <row r="48" ht="11.5" customHeight="1">
      <c r="AK48" s="423"/>
      <c r="BM48" s="293">
        <v>11</v>
      </c>
    </row>
    <row r="49" ht="11.5" customHeight="1">
      <c r="AK49" s="423"/>
      <c r="BM49" s="293">
        <v>11</v>
      </c>
    </row>
    <row r="50" ht="11.25" hidden="1" customHeight="1">
      <c r="A50" s="293" t="s">
        <v>81</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autoFilter="0" deleteColumns="0" deleteRows="0" formatColumns="0" formatRows="0" insertColumns="1" insertRows="0" sort="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pageMargins left="0.69999999999999996" right="0.69999999999999996" top="0.75" bottom="0.75" header="0.29999999999999999" footer="0.29999999999999999"/>
  <pageSetup paperSize="9"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2">
        <x14:dataValidation xr:uid="{009800D4-00FF-4368-9AB2-0039002B0097}" type="textLength" allowBlank="1" error="Допускается ввод не более 900 символов!" errorTitle="Ошибка" operator="lessThanOrEqual" showErrorMessage="1" showInputMessage="1">
          <x14:formula1>
            <xm:f>900</xm:f>
          </x14:formula1>
          <xm:sqref>AI29 AI23 P17:P20 J23:J27 J29:J33 AI35 J35:J39 P35:P38 P29:P32 AI17 J17:J21 P23:P26 AI11 J11:J15 P11:P14</xm:sqref>
        </x14:dataValidation>
        <x14:dataValidation xr:uid="{00790025-0012-4772-918E-008900700005}" type="list" allowBlank="1" error="Выберите значение из списка" errorStyle="warning" errorTitle="Ошибка" prompt="Выберите значение из списка или укажите свой вид твердых коммунальных отходов" showInputMessage="1">
          <x14:formula1>
            <xm:f>list_typeTKO</xm:f>
          </x14:formula1>
          <xm:sqref>AC17 AC23 AC35 AC29 AC11</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3" tint="0.59999999999999998"/>
  </sheetPr>
  <sheetViews>
    <sheetView showGridLines="0" topLeftCell="A1" zoomScale="90" workbookViewId="0">
      <selection activeCell="A1" sqref="A1"/>
    </sheetView>
  </sheetViews>
  <sheetFormatPr defaultColWidth="9.140625" defaultRowHeight="11.25" customHeight="1"/>
  <cols>
    <col customWidth="1" hidden="1" min="1" max="1" style="1686" width="15.00390625"/>
    <col customWidth="1" hidden="1" min="2" max="2" style="501" width="15.00390625"/>
    <col customWidth="1" min="3" max="3" style="455" width="3.00390625"/>
    <col customWidth="1" min="4" max="4" style="456" width="6.00390625"/>
    <col customWidth="1" min="5" max="5" style="455" width="52.00390625"/>
    <col customWidth="1" min="6" max="6" style="455" width="48.00390625"/>
    <col customWidth="1" min="7" max="7" style="455" width="121.00390625"/>
    <col customWidth="1" min="8" max="8" style="455" width="8.00390625"/>
    <col customWidth="1" min="9" max="9" style="455" width="64.00390625"/>
    <col hidden="1" min="10" max="10" style="455" width="9.140625"/>
  </cols>
  <sheetData>
    <row r="1" ht="11.25" hidden="1" customHeight="1">
      <c r="A1" s="1686" t="s">
        <v>301</v>
      </c>
      <c r="J1" s="455" t="s">
        <v>14</v>
      </c>
    </row>
    <row r="2" ht="11.25" hidden="1" customHeight="1">
      <c r="J2" s="455">
        <v>0</v>
      </c>
    </row>
    <row r="3" s="477" customFormat="1" ht="11.5" customHeight="1">
      <c r="A3" s="1686"/>
      <c r="B3" s="501"/>
      <c r="D3" s="478"/>
      <c r="J3" s="477">
        <v>11</v>
      </c>
    </row>
    <row r="4" ht="27.300000000000001" customHeight="1">
      <c r="D4" s="2157" t="str">
        <f>ORG_INFO_NAME_FORM</f>
        <v xml:space="preserve">Форма 1. Информация об организации, осуществляющей водоотведение (общая информация)</v>
      </c>
      <c r="E4" s="2158"/>
      <c r="F4" s="2159"/>
      <c r="I4" s="715"/>
      <c r="J4" s="455">
        <v>26</v>
      </c>
    </row>
    <row r="5" ht="18" customHeight="1">
      <c r="D5" s="2176" t="str">
        <f>IF(org=0,"Не определено",org)</f>
        <v xml:space="preserve">филиал ПАО "ОГК-2" - Рязанская ГРЭС</v>
      </c>
      <c r="E5" s="2176"/>
      <c r="F5" s="2176"/>
      <c r="I5" s="715"/>
      <c r="J5" s="455">
        <v>17</v>
      </c>
    </row>
    <row r="6" s="477" customFormat="1" ht="11.5" customHeight="1">
      <c r="A6" s="1686"/>
      <c r="B6" s="501"/>
      <c r="D6" s="714"/>
      <c r="E6" s="714"/>
      <c r="F6" s="752"/>
      <c r="G6" s="714"/>
      <c r="J6" s="477">
        <v>11</v>
      </c>
    </row>
    <row r="7" ht="11.25" hidden="1" customHeight="1">
      <c r="A7" s="457"/>
      <c r="B7" s="502"/>
      <c r="C7" s="457"/>
      <c r="D7" s="463"/>
      <c r="E7" s="2207"/>
      <c r="F7" s="2207"/>
      <c r="J7" s="455">
        <v>0</v>
      </c>
    </row>
    <row r="8" ht="11.5" customHeight="1">
      <c r="A8" s="457"/>
      <c r="B8" s="502"/>
      <c r="C8" s="457"/>
      <c r="D8" s="2204" t="s">
        <v>302</v>
      </c>
      <c r="E8" s="2205"/>
      <c r="F8" s="2205"/>
      <c r="G8" s="2208" t="s">
        <v>303</v>
      </c>
      <c r="J8" s="455">
        <v>11</v>
      </c>
    </row>
    <row r="9" ht="11.5" customHeight="1">
      <c r="A9" s="457"/>
      <c r="B9" s="502"/>
      <c r="C9" s="457"/>
      <c r="D9" s="472" t="s">
        <v>87</v>
      </c>
      <c r="E9" s="446" t="s">
        <v>304</v>
      </c>
      <c r="F9" s="446" t="s">
        <v>305</v>
      </c>
      <c r="G9" s="2209"/>
      <c r="J9" s="455">
        <v>11</v>
      </c>
    </row>
    <row r="10" ht="12" hidden="1" customHeight="1">
      <c r="A10" s="457"/>
      <c r="B10" s="502"/>
      <c r="C10" s="457"/>
      <c r="D10" s="464"/>
      <c r="E10" s="464"/>
      <c r="F10" s="464"/>
      <c r="G10" s="464"/>
      <c r="J10" s="455">
        <v>0</v>
      </c>
    </row>
    <row r="11" ht="22.5" hidden="1" customHeight="1">
      <c r="A11" s="457"/>
      <c r="B11" s="502"/>
      <c r="C11" s="457"/>
      <c r="D11" s="1009" t="s">
        <v>109</v>
      </c>
      <c r="E11" s="1012" t="s">
        <v>306</v>
      </c>
      <c r="F11" s="1011" t="str">
        <f>IF(region_name="","",region_name)</f>
        <v xml:space="preserve">Рязанская область</v>
      </c>
      <c r="G11" s="1012" t="s">
        <v>307</v>
      </c>
      <c r="H11" s="475"/>
      <c r="J11" s="455">
        <v>0</v>
      </c>
    </row>
    <row r="12" ht="22.5" hidden="1" customHeight="1">
      <c r="A12" s="457"/>
      <c r="B12" s="502"/>
      <c r="C12" s="457"/>
      <c r="D12" s="445" t="s">
        <v>109</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v>
      </c>
      <c r="F12" s="443" t="s">
        <v>308</v>
      </c>
      <c r="G12" s="474"/>
      <c r="H12" s="475"/>
      <c r="J12" s="455">
        <v>0</v>
      </c>
    </row>
    <row r="13" ht="23.25" customHeight="1">
      <c r="A13" s="457"/>
      <c r="B13" s="502"/>
      <c r="C13" s="457"/>
      <c r="D13" s="445" t="s">
        <v>109</v>
      </c>
      <c r="E13" s="442" t="str">
        <f>"Наименование юридического лица"&amp;IF(TEMPLATE_SPHERE="TKO"," (индивидуального предпринимателя)","")</f>
        <v xml:space="preserve">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 xml:space="preserve">Наименование юридического лица указывается согласно уставу регулируемой организации.</v>
      </c>
      <c r="H13" s="475"/>
      <c r="J13" s="455">
        <v>22</v>
      </c>
    </row>
    <row r="14" ht="22.5" hidden="1" customHeight="1">
      <c r="A14" s="457"/>
      <c r="B14" s="502"/>
      <c r="C14" s="457"/>
      <c r="D14" s="1009" t="s">
        <v>309</v>
      </c>
      <c r="E14" s="1010" t="s">
        <v>310</v>
      </c>
      <c r="F14" s="1011" t="str">
        <f>IF(inn="","",inn)</f>
        <v>2607018122</v>
      </c>
      <c r="G14" s="1012" t="s">
        <v>311</v>
      </c>
      <c r="H14" s="475"/>
      <c r="J14" s="455">
        <v>0</v>
      </c>
    </row>
    <row r="15" ht="22.5" hidden="1" customHeight="1">
      <c r="A15" s="457"/>
      <c r="B15" s="502"/>
      <c r="C15" s="457"/>
      <c r="D15" s="1009" t="s">
        <v>312</v>
      </c>
      <c r="E15" s="1010" t="s">
        <v>313</v>
      </c>
      <c r="F15" s="1011" t="str">
        <f>IF(kpp="","",kpp)</f>
        <v>621143001</v>
      </c>
      <c r="G15" s="1012" t="s">
        <v>314</v>
      </c>
      <c r="H15" s="475"/>
      <c r="J15" s="455">
        <v>0</v>
      </c>
    </row>
    <row r="16" ht="39" customHeight="1">
      <c r="A16" s="457"/>
      <c r="B16" s="502"/>
      <c r="C16" s="457"/>
      <c r="D16" s="445" t="s">
        <v>110</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 xml:space="preserve">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 xml:space="preserve">Указывается основной государственный регистрационный номер юридического лица (индивидуального предпринимателя).</v>
      </c>
      <c r="H16" s="475"/>
      <c r="J16" s="455">
        <v>37</v>
      </c>
    </row>
    <row r="17" ht="23.25" customHeight="1">
      <c r="A17" s="457"/>
      <c r="B17" s="502"/>
      <c r="C17" s="457"/>
      <c r="D17" s="445" t="s">
        <v>89</v>
      </c>
      <c r="E17" s="442" t="str">
        <f>"Дата присвоения ОГРН"&amp;IF(TEMPLATE_SPHERE="TKO",""," (ОГРНИП)")</f>
        <v xml:space="preserve">Дата присвоения ОГРН (ОГРНИП)</v>
      </c>
      <c r="F17" s="1732" t="s">
        <v>22</v>
      </c>
      <c r="G17" s="444" t="str">
        <f>"Дата присвоения ОГРН"&amp;IF(TEMPLATE_SPHERE="TKO",""," (ОГРНИП)")&amp;" указывается в виде «ДД.ММ.ГГГГ»."</f>
        <v xml:space="preserve">Дата присвоения ОГРН (ОГРНИП) указывается в виде «ДД.ММ.ГГГГ».</v>
      </c>
      <c r="H17" s="475"/>
      <c r="J17" s="455">
        <v>22</v>
      </c>
    </row>
    <row r="18" ht="71.25" customHeight="1">
      <c r="A18" s="457"/>
      <c r="B18" s="502"/>
      <c r="C18" s="457"/>
      <c r="D18" s="445" t="s">
        <v>90</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 xml:space="preserve">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r="19" ht="22.5" hidden="1" customHeight="1">
      <c r="A19" s="2202" t="s">
        <v>315</v>
      </c>
      <c r="B19" s="502"/>
      <c r="C19" s="2213"/>
      <c r="D19" s="445" t="str">
        <f>A19</f>
        <v>5.1</v>
      </c>
      <c r="E19" s="442" t="s">
        <v>316</v>
      </c>
      <c r="F19" s="443" t="s">
        <v>308</v>
      </c>
      <c r="G19" s="444" t="s">
        <v>317</v>
      </c>
      <c r="H19" s="475"/>
      <c r="I19" s="852"/>
      <c r="J19" s="455">
        <v>0</v>
      </c>
    </row>
    <row r="20" ht="24" hidden="1" customHeight="1">
      <c r="A20" s="2202"/>
      <c r="B20" s="502"/>
      <c r="C20" s="2213"/>
      <c r="D20" s="440" t="str">
        <f>D19&amp;".1"</f>
        <v>5.1.1</v>
      </c>
      <c r="E20" s="439" t="s">
        <v>318</v>
      </c>
      <c r="F20" s="881" t="s">
        <v>22</v>
      </c>
      <c r="G20" s="474"/>
      <c r="H20" s="475"/>
      <c r="I20" s="852"/>
      <c r="J20" s="455">
        <v>0</v>
      </c>
    </row>
    <row r="21" ht="22.5" hidden="1" customHeight="1">
      <c r="A21" s="2202"/>
      <c r="B21" s="502"/>
      <c r="C21" s="2213"/>
      <c r="D21" s="440" t="str">
        <f>D19&amp;".2"</f>
        <v>5.1.2</v>
      </c>
      <c r="E21" s="439" t="s">
        <v>319</v>
      </c>
      <c r="F21" s="1733" t="s">
        <v>22</v>
      </c>
      <c r="G21" s="444" t="s">
        <v>320</v>
      </c>
      <c r="H21" s="475"/>
      <c r="I21" s="852"/>
      <c r="J21" s="455">
        <v>0</v>
      </c>
    </row>
    <row r="22" ht="22.5" hidden="1" customHeight="1">
      <c r="A22" s="2202"/>
      <c r="B22" s="502"/>
      <c r="C22" s="2213"/>
      <c r="D22" s="440" t="str">
        <f>D19&amp;".3"</f>
        <v>5.1.3</v>
      </c>
      <c r="E22" s="439" t="s">
        <v>321</v>
      </c>
      <c r="F22" s="881" t="s">
        <v>22</v>
      </c>
      <c r="G22" s="474"/>
      <c r="H22" s="475"/>
      <c r="I22" s="852"/>
      <c r="J22" s="455">
        <v>0</v>
      </c>
    </row>
    <row r="23" ht="22.5" hidden="1" customHeight="1">
      <c r="A23" s="2202"/>
      <c r="B23" s="502"/>
      <c r="C23" s="2213"/>
      <c r="D23" s="440" t="str">
        <f>D19&amp;".4"</f>
        <v>5.1.4</v>
      </c>
      <c r="E23" s="439" t="s">
        <v>322</v>
      </c>
      <c r="F23" s="881" t="s">
        <v>22</v>
      </c>
      <c r="G23" s="444" t="s">
        <v>323</v>
      </c>
      <c r="H23" s="475"/>
      <c r="I23" s="852"/>
      <c r="J23" s="455">
        <v>0</v>
      </c>
    </row>
    <row r="24" ht="22.5" hidden="1" customHeight="1">
      <c r="A24" s="1978"/>
      <c r="B24" s="502"/>
      <c r="C24" s="492"/>
      <c r="D24" s="467"/>
      <c r="E24" s="1168" t="s">
        <v>324</v>
      </c>
      <c r="F24" s="468"/>
      <c r="G24" s="469"/>
      <c r="H24" s="475"/>
      <c r="I24" s="852"/>
      <c r="J24" s="455">
        <v>0</v>
      </c>
    </row>
    <row r="25" s="501" customFormat="1" ht="24.75" hidden="1" customHeight="1">
      <c r="A25" s="457"/>
      <c r="B25" s="502"/>
      <c r="C25" s="502"/>
      <c r="D25" s="1006" t="s">
        <v>89</v>
      </c>
      <c r="E25" s="1008" t="s">
        <v>325</v>
      </c>
      <c r="F25" s="1013" t="s">
        <v>308</v>
      </c>
      <c r="G25" s="1008"/>
      <c r="J25" s="501">
        <v>0</v>
      </c>
    </row>
    <row r="26" s="501" customFormat="1" ht="11.25" hidden="1" customHeight="1">
      <c r="A26" s="457"/>
      <c r="B26" s="502"/>
      <c r="C26" s="502"/>
      <c r="D26" s="1006" t="s">
        <v>326</v>
      </c>
      <c r="E26" s="1007" t="s">
        <v>327</v>
      </c>
      <c r="F26" s="1013" t="s">
        <v>308</v>
      </c>
      <c r="G26" s="1008"/>
      <c r="J26" s="501">
        <v>0</v>
      </c>
    </row>
    <row r="27" s="501" customFormat="1" ht="11.25" hidden="1" customHeight="1">
      <c r="A27" s="457"/>
      <c r="B27" s="502"/>
      <c r="C27" s="502"/>
      <c r="D27" s="1006" t="s">
        <v>328</v>
      </c>
      <c r="E27" s="1014" t="s">
        <v>329</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 xml:space="preserve">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c r="J27" s="501">
        <v>0</v>
      </c>
    </row>
    <row r="28" s="501" customFormat="1" ht="11.25" hidden="1" customHeight="1">
      <c r="A28" s="457"/>
      <c r="B28" s="502"/>
      <c r="C28" s="502"/>
      <c r="D28" s="1006" t="s">
        <v>330</v>
      </c>
      <c r="E28" s="1014" t="s">
        <v>331</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 xml:space="preserve">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c r="J28" s="501">
        <v>0</v>
      </c>
    </row>
    <row r="29" s="501" customFormat="1" ht="11.25" hidden="1" customHeight="1">
      <c r="A29" s="457"/>
      <c r="B29" s="502"/>
      <c r="C29" s="502"/>
      <c r="D29" s="1006" t="s">
        <v>332</v>
      </c>
      <c r="E29" s="1014" t="s">
        <v>333</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 xml:space="preserve">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c r="J29" s="501">
        <v>0</v>
      </c>
    </row>
    <row r="30" s="501" customFormat="1" ht="11.25" hidden="1" customHeight="1">
      <c r="A30" s="457"/>
      <c r="B30" s="502"/>
      <c r="C30" s="502"/>
      <c r="D30" s="1006" t="s">
        <v>334</v>
      </c>
      <c r="E30" s="1007" t="s">
        <v>335</v>
      </c>
      <c r="F30" s="1015"/>
      <c r="G30" s="1008"/>
      <c r="J30" s="501">
        <v>0</v>
      </c>
    </row>
    <row r="31" s="501" customFormat="1" ht="11.25" hidden="1" customHeight="1">
      <c r="A31" s="457"/>
      <c r="B31" s="502"/>
      <c r="C31" s="502"/>
      <c r="D31" s="1006" t="s">
        <v>336</v>
      </c>
      <c r="E31" s="1007" t="s">
        <v>337</v>
      </c>
      <c r="F31" s="1015"/>
      <c r="G31" s="1008"/>
      <c r="J31" s="501">
        <v>0</v>
      </c>
    </row>
    <row r="32" s="501" customFormat="1" ht="11.25" hidden="1" customHeight="1">
      <c r="A32" s="457"/>
      <c r="B32" s="502"/>
      <c r="C32" s="502"/>
      <c r="D32" s="1006" t="s">
        <v>338</v>
      </c>
      <c r="E32" s="1007" t="s">
        <v>339</v>
      </c>
      <c r="F32" s="1016"/>
      <c r="G32" s="1008"/>
      <c r="J32" s="501">
        <v>0</v>
      </c>
    </row>
    <row r="33" ht="24" customHeight="1">
      <c r="A33" s="457" t="str">
        <f>IF(TEMPLATE_SPHERE="HEAT","6","5")</f>
        <v>5</v>
      </c>
      <c r="B33" s="502"/>
      <c r="C33" s="457"/>
      <c r="D33" s="440" t="str">
        <f>A33</f>
        <v>5</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 xml:space="preserve">Фамилия, имя и отчество руководителя регулируемой организации (индивидуального предпринимателя):</v>
      </c>
      <c r="F33" s="443" t="s">
        <v>308</v>
      </c>
      <c r="G33" s="474"/>
      <c r="H33" s="475"/>
      <c r="J33" s="455">
        <v>23</v>
      </c>
    </row>
    <row r="34" ht="23.25" customHeight="1">
      <c r="A34" s="457"/>
      <c r="B34" s="502"/>
      <c r="C34" s="457"/>
      <c r="D34" s="440" t="str">
        <f>D33&amp;".1"</f>
        <v>5.1</v>
      </c>
      <c r="E34" s="442" t="str">
        <f>"фамилия"&amp;IF(TEMPLATE_SPHERE&lt;&gt;"HEAT"," руководителя","")</f>
        <v xml:space="preserve">фамилия руководителя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 xml:space="preserve">Указывается фамилия руководителя регулируемой организации в соответствии с паспортными данными физического лица.</v>
      </c>
      <c r="H34" s="475"/>
      <c r="J34" s="455">
        <v>22</v>
      </c>
    </row>
    <row r="35" ht="23.25" customHeight="1">
      <c r="A35" s="457"/>
      <c r="B35" s="502"/>
      <c r="C35" s="457"/>
      <c r="D35" s="440" t="str">
        <f>D33&amp;".2"</f>
        <v>5.2</v>
      </c>
      <c r="E35" s="442" t="str">
        <f>"имя"&amp;IF(TEMPLATE_SPHERE&lt;&gt;"HEAT"," руководителя","")</f>
        <v xml:space="preserve">имя руководителя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 xml:space="preserve">Указывается имя руководителя регулируемой организации в соответствии с паспортными данными физического лица.</v>
      </c>
      <c r="H35" s="475"/>
      <c r="J35" s="455">
        <v>22</v>
      </c>
    </row>
    <row r="36" ht="24" customHeight="1">
      <c r="A36" s="457"/>
      <c r="B36" s="502"/>
      <c r="C36" s="457"/>
      <c r="D36" s="440" t="str">
        <f>D33&amp;".3"</f>
        <v>5.3</v>
      </c>
      <c r="E36" s="442" t="str">
        <f>"отчество"&amp;IF(TEMPLATE_SPHERE&lt;&gt;"HEAT"," руководителя","")</f>
        <v xml:space="preserve">отчество руководителя</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 xml:space="preserve">Указывается отчество руководителя регулируемой организации в соответствии с паспортными данными физического лица (при наличии).</v>
      </c>
      <c r="H36" s="475"/>
      <c r="J36" s="455">
        <v>23</v>
      </c>
    </row>
    <row r="37" ht="35.649999999999999" customHeight="1">
      <c r="A37" s="457"/>
      <c r="B37" s="502"/>
      <c r="C37" s="457"/>
      <c r="D37" s="440">
        <f>D33+1</f>
        <v>6</v>
      </c>
      <c r="E37" s="438" t="str">
        <f>"Почтовый адрес органов управления"&amp;IF(TEMPLATE_SPHERE&lt;&gt;"TKO"," регулируемой","")&amp;" организации"&amp;IF(TEMPLATE_SPHERE="HEAT",", ЕТО, ТО","")</f>
        <v xml:space="preserve">Почтовый адрес органов управления регулируемой организации</v>
      </c>
      <c r="F37" s="441"/>
      <c r="G37" s="444" t="s">
        <v>340</v>
      </c>
      <c r="H37" s="475"/>
      <c r="J37" s="455">
        <v>34</v>
      </c>
    </row>
    <row r="38" ht="35.649999999999999" customHeight="1">
      <c r="A38" s="457"/>
      <c r="B38" s="502"/>
      <c r="C38" s="457"/>
      <c r="D38" s="440">
        <f>D37+1</f>
        <v>7</v>
      </c>
      <c r="E38" s="438" t="str">
        <f>"Адрес места нахождения органов управления"&amp;IF(TEMPLATE_SPHERE&lt;&gt;"TKO"," регулируемой","")&amp;" организации"&amp;IF(TEMPLATE_SPHERE="HEAT",", ЕТО, ТО","")</f>
        <v xml:space="preserve">Адрес места нахождения органов управления регулируемой организации</v>
      </c>
      <c r="F38" s="441"/>
      <c r="G38" s="444" t="s">
        <v>340</v>
      </c>
      <c r="H38" s="475"/>
      <c r="J38" s="455">
        <v>34</v>
      </c>
    </row>
    <row r="39" ht="23.25" customHeight="1">
      <c r="A39" s="457"/>
      <c r="B39" s="502"/>
      <c r="C39" s="457"/>
      <c r="D39" s="440">
        <f>D38+1</f>
        <v>8</v>
      </c>
      <c r="E39" s="437" t="str">
        <f>"Контактные телефоны "&amp;IF(TEMPLATE_SPHERE="TKO","","регулируемой ")&amp;"организации"&amp;IF(TEMPLATE_SPHERE="HEAT",", ЕТО, ТО",IF(TEMPLATE_SPHERE="TKO"," (индивидуального предпринимателя)",""))</f>
        <v xml:space="preserve">Контактные телефоны регулируемой организации</v>
      </c>
      <c r="F39" s="443" t="s">
        <v>308</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 xml:space="preserve">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r="40" ht="22.5" hidden="1" customHeight="1">
      <c r="A40" s="457"/>
      <c r="B40" s="502"/>
      <c r="C40" s="457"/>
      <c r="D40" s="440" t="str">
        <f>D39&amp;".0"</f>
        <v>8.0</v>
      </c>
      <c r="E40" s="1605"/>
      <c r="F40" s="881"/>
      <c r="G40" s="2211"/>
      <c r="H40" s="475"/>
      <c r="J40" s="455">
        <v>0</v>
      </c>
    </row>
    <row r="41" ht="23.25" customHeight="1">
      <c r="A41" s="457"/>
      <c r="B41" s="457"/>
      <c r="C41" s="1688"/>
      <c r="D41" s="440" t="str">
        <f>D39&amp;".1"</f>
        <v>8.1</v>
      </c>
      <c r="E41" s="860"/>
      <c r="F41" s="861"/>
      <c r="G41" s="2211"/>
      <c r="H41" s="475"/>
      <c r="J41" s="455">
        <v>22</v>
      </c>
    </row>
    <row r="42" ht="15.75" customHeight="1">
      <c r="A42" s="457"/>
      <c r="B42" s="502"/>
      <c r="C42" s="457"/>
      <c r="D42" s="467"/>
      <c r="E42" s="415" t="s">
        <v>341</v>
      </c>
      <c r="F42" s="469"/>
      <c r="G42" s="2212"/>
      <c r="H42" s="476"/>
      <c r="J42" s="455">
        <v>15</v>
      </c>
    </row>
    <row r="43" ht="27.300000000000001" customHeight="1">
      <c r="A43" s="457"/>
      <c r="B43" s="502"/>
      <c r="C43" s="457"/>
      <c r="D43" s="440">
        <f>D39+1</f>
        <v>9</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 xml:space="preserve">Официальный сайт регулируемой организации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 xml:space="preserve">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r="44" ht="23.25" customHeight="1">
      <c r="A44" s="457"/>
      <c r="B44" s="502"/>
      <c r="C44" s="457"/>
      <c r="D44" s="440">
        <f>D43+1</f>
        <v>10</v>
      </c>
      <c r="E44" s="438" t="str">
        <f>"Адрес электронной почты "&amp;IF(TEMPLATE_SPHERE="TKO","","регулируемой ")&amp;"организации"&amp;IF(TEMPLATE_SPHERE="HEAT",", ЕТО, ТО",IF(TEMPLATE_SPHERE="TKO"," (индивидуального предпринимателя)",""))</f>
        <v xml:space="preserve">Адрес электронной почты регулируемой организации</v>
      </c>
      <c r="F44" s="378"/>
      <c r="G44" s="474" t="s">
        <v>342</v>
      </c>
      <c r="H44" s="475"/>
      <c r="J44" s="455">
        <v>22</v>
      </c>
    </row>
    <row r="45" ht="23.25" customHeight="1">
      <c r="A45" s="457"/>
      <c r="B45" s="502"/>
      <c r="C45" s="457"/>
      <c r="D45" s="440">
        <f>D44+1</f>
        <v>11</v>
      </c>
      <c r="E45" s="438" t="s">
        <v>343</v>
      </c>
      <c r="F45" s="443" t="s">
        <v>308</v>
      </c>
      <c r="G45" s="437" t="str">
        <f>IF(TEMPLATE_SPHERE="TKO","Указывается режим работы организации.","")</f>
        <v/>
      </c>
      <c r="H45" s="475"/>
      <c r="J45" s="455">
        <v>22</v>
      </c>
    </row>
    <row r="46" ht="24" customHeight="1">
      <c r="A46" s="457"/>
      <c r="B46" s="502"/>
      <c r="C46" s="457"/>
      <c r="D46" s="440" t="str">
        <f>D45&amp;".1"</f>
        <v>11.1</v>
      </c>
      <c r="E46" s="442" t="str">
        <f>"режим работы регулируемой организации"&amp;IF(TEMPLATE_SPHERE="HEAT",", ЕТО, ТО","")</f>
        <v xml:space="preserve">режим работы регулируемой организации</v>
      </c>
      <c r="F46" s="1684"/>
      <c r="G46" s="437" t="s">
        <v>344</v>
      </c>
      <c r="H46" s="475"/>
      <c r="J46" s="455">
        <v>23</v>
      </c>
    </row>
    <row r="47" ht="24" customHeight="1">
      <c r="A47" s="2202"/>
      <c r="B47" s="502"/>
      <c r="C47" s="492"/>
      <c r="D47" s="440" t="str">
        <f>D45&amp;".2"</f>
        <v>11.2</v>
      </c>
      <c r="E47" s="442" t="s">
        <v>345</v>
      </c>
      <c r="F47" s="490"/>
      <c r="G47" s="437" t="s">
        <v>346</v>
      </c>
      <c r="H47" s="475"/>
      <c r="J47" s="455">
        <v>23</v>
      </c>
    </row>
    <row r="48" ht="24" customHeight="1">
      <c r="A48" s="2202"/>
      <c r="B48" s="502"/>
      <c r="C48" s="492"/>
      <c r="D48" s="440" t="str">
        <f>D45&amp;".3"</f>
        <v>11.3</v>
      </c>
      <c r="E48" s="442" t="s">
        <v>347</v>
      </c>
      <c r="F48" s="490"/>
      <c r="G48" s="437" t="s">
        <v>348</v>
      </c>
      <c r="H48" s="475"/>
      <c r="J48" s="455">
        <v>23</v>
      </c>
    </row>
    <row r="49" ht="24" customHeight="1">
      <c r="A49" s="2202"/>
      <c r="B49" s="502"/>
      <c r="C49" s="492"/>
      <c r="D49" s="440" t="str">
        <f>IF(TEMPLATE_SPHERE="TKO",D45&amp;".0",D45&amp;".4")</f>
        <v>11.4</v>
      </c>
      <c r="E49" s="436" t="s">
        <v>349</v>
      </c>
      <c r="F49" s="1685"/>
      <c r="G49" s="1762" t="s">
        <v>350</v>
      </c>
      <c r="H49" s="475"/>
      <c r="J49" s="455">
        <v>23</v>
      </c>
    </row>
    <row r="50" ht="24" customHeight="1">
      <c r="A50" s="457"/>
      <c r="B50" s="502"/>
      <c r="C50" s="457"/>
      <c r="D50" s="467"/>
      <c r="E50" s="415" t="s">
        <v>351</v>
      </c>
      <c r="F50" s="468"/>
      <c r="G50" s="1762" t="s">
        <v>352</v>
      </c>
      <c r="H50" s="476"/>
      <c r="J50" s="455">
        <v>23</v>
      </c>
    </row>
    <row r="51" ht="24" customHeight="1">
      <c r="A51" s="858"/>
      <c r="B51" s="502"/>
      <c r="C51" s="492"/>
      <c r="D51" s="440">
        <f>D45+1</f>
        <v>12</v>
      </c>
      <c r="E51" s="528" t="s">
        <v>353</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 xml:space="preserve">Указывается наличие «да» или отсутствие «нет» утвержденной в установленном порядке инвестиционной программы</v>
      </c>
      <c r="H51" s="475"/>
      <c r="J51" s="455">
        <v>23</v>
      </c>
    </row>
    <row r="52" ht="11.5" customHeight="1">
      <c r="A52" s="457"/>
      <c r="B52" s="502"/>
      <c r="C52" s="457"/>
      <c r="J52" s="455">
        <v>11</v>
      </c>
    </row>
    <row r="53" s="460" customFormat="1" ht="31.5" customHeight="1">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 xml:space="preserve">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6"/>
      <c r="F53" s="2206"/>
      <c r="G53" s="2206"/>
      <c r="H53" s="454"/>
      <c r="I53" s="454"/>
      <c r="J53" s="460">
        <v>30</v>
      </c>
    </row>
    <row r="54" s="460" customFormat="1" ht="42" customHeight="1">
      <c r="A54" s="457"/>
      <c r="B54" s="502"/>
      <c r="C54" s="2203"/>
      <c r="D54" s="2206" t="str">
        <f>IF(ORG_INFO_P_NOTE_MAIN=0,"",ORG_INFO_P_NOTE_MAIN)</f>
        <v xml:space="preserve">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E54" s="2206"/>
      <c r="F54" s="2206"/>
      <c r="G54" s="2206"/>
      <c r="J54" s="460">
        <v>40</v>
      </c>
    </row>
    <row r="55" ht="11.5" customHeight="1">
      <c r="D55" s="458"/>
      <c r="E55" s="459"/>
      <c r="F55" s="459"/>
      <c r="G55" s="459"/>
      <c r="J55" s="455">
        <v>11</v>
      </c>
    </row>
    <row r="56" ht="28.5" customHeight="1">
      <c r="D56" s="461"/>
      <c r="E56" s="458"/>
      <c r="F56" s="470"/>
      <c r="G56" s="470"/>
      <c r="J56" s="455">
        <v>27</v>
      </c>
    </row>
    <row r="57" ht="11.5" customHeight="1">
      <c r="D57" s="458"/>
      <c r="E57" s="458"/>
      <c r="F57" s="459"/>
      <c r="G57" s="459"/>
      <c r="J57" s="455">
        <v>11</v>
      </c>
    </row>
    <row r="58" ht="40.899999999999999" customHeight="1">
      <c r="D58" s="462"/>
      <c r="E58" s="471"/>
      <c r="F58" s="471"/>
      <c r="G58" s="471"/>
      <c r="J58" s="455">
        <v>39</v>
      </c>
    </row>
    <row r="59" ht="28.5" customHeight="1">
      <c r="D59" s="462"/>
      <c r="E59" s="471"/>
      <c r="F59" s="471"/>
      <c r="G59" s="471"/>
      <c r="J59" s="455">
        <v>27</v>
      </c>
    </row>
    <row r="60" ht="11.25" hidden="1" customHeight="1">
      <c r="A60" s="1686" t="s">
        <v>81</v>
      </c>
      <c r="B60" s="501">
        <v>0</v>
      </c>
      <c r="C60" s="455">
        <v>3</v>
      </c>
      <c r="D60" s="456">
        <v>6</v>
      </c>
      <c r="E60" s="455">
        <v>52</v>
      </c>
      <c r="F60" s="455">
        <v>48</v>
      </c>
      <c r="G60" s="455">
        <v>121</v>
      </c>
      <c r="H60" s="455">
        <v>8</v>
      </c>
      <c r="I60" s="455">
        <v>64</v>
      </c>
      <c r="J60" s="455">
        <v>11</v>
      </c>
    </row>
  </sheetData>
  <sheetProtection autoFilter="0" deleteColumns="0" deleteRows="0" formatColumns="0" formatRows="0" insertColumns="1" insertRows="0" sort="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1">
    <dataValidation sqref="F21 F17" allowBlank="1" prompt="Выберите дату из календаря (иконка справа от указанной ячейки), либо введите дату непосредственно в ячейку в формате - 'ДД.ММ.ГГГГ'." showErrorMessage="1" showInputMessage="1"/>
  </dataValidations>
  <pageMargins left="0.69999999999999996" right="0.69999999999999996" top="0.75" bottom="0.75" header="0.29999999999999999" footer="0.29999999999999999"/>
  <pageSetup paperSize="9"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2">
        <x14:dataValidation xr:uid="{003D008C-0085-4035-AC71-003900AE009F}" type="list" allowBlank="1" error="для выбора выполните двойной щелчок по ячейке" prompt="Для выбора выполните двойной щелчок левой клавиши мыши по соответствующей ячейке." showDropDown="1" showErrorMessage="1" showInputMessage="1">
          <x14:formula1>
            <xm:f>"a"</xm:f>
          </x14:formula1>
          <xm:sqref>F51 F46:F49</xm:sqref>
        </x14:dataValidation>
        <x14:dataValidation xr:uid="{002800FE-0001-4391-8A54-003100D500FD}" type="textLength" allowBlank="1" error="Допускается ввод не более 900 символов!" errorTitle="Ошибка" operator="lessThanOrEqual" showErrorMessage="1" showInputMessage="1">
          <x14:formula1>
            <xm:f>900</xm:f>
          </x14:formula1>
          <xm:sqref>F13 F43:F44 F27:F32 F16 E40:F41 F18 F20 F34:F38 F22:F23</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3" tint="0.59999999999999998"/>
  </sheetPr>
  <sheetViews>
    <sheetView showGridLines="0" topLeftCell="A1" zoomScale="90" workbookViewId="0">
      <selection activeCell="A1" sqref="A1"/>
    </sheetView>
  </sheetViews>
  <sheetFormatPr defaultColWidth="10.57421875" defaultRowHeight="14.25" customHeight="1"/>
  <cols>
    <col customWidth="1" hidden="1" min="1" max="1" style="1632" width="9.140625"/>
    <col customWidth="1" hidden="1" min="2" max="2" style="1635" width="9.140625"/>
    <col customWidth="1" min="3" max="3" style="1842" width="3.00390625"/>
    <col customWidth="1" min="4" max="4" style="1635" width="5.00390625"/>
    <col customWidth="1" min="5" max="5" style="1635" width="48.00390625"/>
    <col customWidth="1" min="6" max="6" style="1635" width="38.00390625"/>
    <col customWidth="1" hidden="1" min="7" max="7" style="1635" width="1.7109375"/>
    <col customWidth="1" hidden="1" min="8" max="11" style="1635" width="19.8515625"/>
    <col customWidth="1" hidden="1" min="12" max="12" style="1635" width="9.7109375"/>
    <col customWidth="1" hidden="1" min="13" max="18" style="1635" width="19.8515625"/>
    <col customWidth="1" hidden="1" min="19" max="19" style="1635" width="1.7109375"/>
    <col customWidth="1" min="20" max="22" style="1635" width="19.8515625"/>
    <col customWidth="1" hidden="1" min="23" max="23" style="1635" width="1.7109375"/>
    <col customWidth="1" hidden="1" min="24" max="26" style="1635" width="19.8515625"/>
    <col customWidth="1" hidden="1" min="27" max="27" style="1635" width="1.7109375"/>
    <col customWidth="1" hidden="1" min="28" max="29" style="1635" width="19.8515625"/>
    <col customWidth="1" hidden="1" min="30" max="30" style="1635" width="1.7109375"/>
    <col customWidth="1" hidden="1" min="31" max="31" style="1635" width="103.7109375"/>
    <col customWidth="1" min="32" max="32" style="1635" width="103.7109375"/>
    <col customWidth="1" hidden="1" min="33" max="34" style="1635" width="103.7109375"/>
    <col customWidth="1" min="35" max="35" style="1819" width="3.00390625"/>
    <col customWidth="1" min="36" max="38" style="1642" width="10.00390625"/>
    <col customWidth="1" hidden="1" min="39" max="39" style="1642" width="13.7109375"/>
    <col customWidth="1" min="40" max="40" style="1642" width="15.00390625"/>
    <col customWidth="1" min="41" max="41" style="1642" width="16.00390625"/>
    <col customWidth="1" min="42" max="45" style="1642" width="10.00390625"/>
    <col hidden="1" min="46" max="46" style="1635" width="10.57421875"/>
  </cols>
  <sheetData>
    <row r="1" ht="22.5" hidden="1" customHeight="1">
      <c r="E1" s="412"/>
      <c r="F1" s="412"/>
      <c r="G1" s="412"/>
      <c r="H1" s="2217" t="s">
        <v>354</v>
      </c>
      <c r="I1" s="2217"/>
      <c r="J1" s="2217"/>
      <c r="K1" s="2217"/>
      <c r="L1" s="2217"/>
      <c r="M1" s="2217"/>
      <c r="N1" s="2217"/>
      <c r="O1" s="2217"/>
      <c r="P1" s="2217"/>
      <c r="Q1" s="2217"/>
      <c r="R1" s="2217"/>
      <c r="T1" s="2217" t="s">
        <v>355</v>
      </c>
      <c r="U1" s="2217"/>
      <c r="V1" s="2217"/>
      <c r="X1" s="2217" t="s">
        <v>356</v>
      </c>
      <c r="Y1" s="2217"/>
      <c r="Z1" s="2217"/>
      <c r="AB1" s="2217" t="s">
        <v>357</v>
      </c>
      <c r="AC1" s="2217"/>
      <c r="AT1" s="447" t="s">
        <v>14</v>
      </c>
    </row>
    <row r="2" ht="14.25" hidden="1" customHeight="1">
      <c r="AT2" s="447">
        <v>0</v>
      </c>
    </row>
    <row r="3" s="1613" customFormat="1" ht="5.25" customHeight="1">
      <c r="C3" s="701"/>
      <c r="D3" s="702"/>
      <c r="E3" s="702"/>
      <c r="F3" s="702"/>
      <c r="G3" s="702"/>
      <c r="H3" s="702" t="s">
        <v>358</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r="4" ht="39.75" customHeight="1">
      <c r="C4" s="450"/>
      <c r="D4" s="2157" t="str">
        <f>ORG_VD_NAME_FORM</f>
        <v xml:space="preserve">Форма 1. Информация об организации, осуществляющей водоотведение (общая информация)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r="5" s="1635" customFormat="1" ht="18" customHeight="1">
      <c r="A5" s="759"/>
      <c r="C5" s="822"/>
      <c r="D5" s="2214" t="str">
        <f>IF(org=0,"Не определено",org)</f>
        <v xml:space="preserve">филиал ПАО "ОГК-2" - Рязанская ГРЭС</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r="6" s="1612" customFormat="1" ht="11.5" customHeight="1">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r="7" ht="14.65" customHeight="1">
      <c r="C7" s="450"/>
      <c r="D7" s="2218" t="s">
        <v>302</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303</v>
      </c>
      <c r="AF7" s="2223" t="s">
        <v>303</v>
      </c>
      <c r="AG7" s="2223" t="s">
        <v>303</v>
      </c>
      <c r="AH7" s="2223" t="s">
        <v>303</v>
      </c>
      <c r="AT7" s="447">
        <v>14</v>
      </c>
    </row>
    <row r="8" ht="27.300000000000001" customHeight="1">
      <c r="C8" s="450"/>
      <c r="D8" s="2127" t="s">
        <v>87</v>
      </c>
      <c r="E8" s="2223" t="str">
        <f>"Наименование "&amp;IF(TEMPLATE_SPHERE&lt;&gt;"HEAT","централизованной ","")&amp;"системы "&amp;TEMPLATE_SPHERE_RUS</f>
        <v xml:space="preserve">Наименование централизованной системы водоотведения</v>
      </c>
      <c r="F8" s="2223" t="str">
        <f>IF(TEMPLATE_SPHERE&lt;&gt;"HEAT","Регулируемый вид деятельности","Вид регулируемой деятельности")</f>
        <v xml:space="preserve">Регулируемый вид деятельности</v>
      </c>
      <c r="G8" s="828"/>
      <c r="H8" s="2224" t="s">
        <v>359</v>
      </c>
      <c r="I8" s="2226" t="s">
        <v>360</v>
      </c>
      <c r="J8" s="2223" t="s">
        <v>361</v>
      </c>
      <c r="K8" s="2223"/>
      <c r="L8" s="2223"/>
      <c r="M8" s="2218"/>
      <c r="N8" s="2223" t="s">
        <v>362</v>
      </c>
      <c r="O8" s="2223"/>
      <c r="P8" s="2223" t="s">
        <v>363</v>
      </c>
      <c r="Q8" s="2223"/>
      <c r="R8" s="2230" t="s">
        <v>364</v>
      </c>
      <c r="S8" s="824"/>
      <c r="T8" s="2228" t="s">
        <v>365</v>
      </c>
      <c r="U8" s="2228" t="s">
        <v>366</v>
      </c>
      <c r="V8" s="2228" t="s">
        <v>367</v>
      </c>
      <c r="W8" s="826"/>
      <c r="X8" s="2228" t="s">
        <v>368</v>
      </c>
      <c r="Y8" s="2228" t="s">
        <v>369</v>
      </c>
      <c r="Z8" s="2228" t="s">
        <v>370</v>
      </c>
      <c r="AA8" s="826"/>
      <c r="AB8" s="2228" t="s">
        <v>371</v>
      </c>
      <c r="AC8" s="2228" t="s">
        <v>364</v>
      </c>
      <c r="AD8" s="826"/>
      <c r="AE8" s="2223"/>
      <c r="AF8" s="2223"/>
      <c r="AG8" s="2223"/>
      <c r="AH8" s="2223"/>
      <c r="AT8" s="447">
        <v>26</v>
      </c>
    </row>
    <row r="9" ht="46.149999999999999" customHeight="1">
      <c r="C9" s="450"/>
      <c r="D9" s="2127"/>
      <c r="E9" s="2223"/>
      <c r="F9" s="2223"/>
      <c r="G9" s="829"/>
      <c r="H9" s="2225"/>
      <c r="I9" s="2227"/>
      <c r="J9" s="425" t="s">
        <v>372</v>
      </c>
      <c r="K9" s="425" t="s">
        <v>373</v>
      </c>
      <c r="L9" s="425" t="s">
        <v>374</v>
      </c>
      <c r="M9" s="431" t="s">
        <v>375</v>
      </c>
      <c r="N9" s="425" t="s">
        <v>376</v>
      </c>
      <c r="O9" s="425" t="s">
        <v>375</v>
      </c>
      <c r="P9" s="425" t="s">
        <v>377</v>
      </c>
      <c r="Q9" s="425" t="s">
        <v>375</v>
      </c>
      <c r="R9" s="2231"/>
      <c r="S9" s="825"/>
      <c r="T9" s="2229"/>
      <c r="U9" s="2229"/>
      <c r="V9" s="2229"/>
      <c r="W9" s="827"/>
      <c r="X9" s="2229"/>
      <c r="Y9" s="2229"/>
      <c r="Z9" s="2229"/>
      <c r="AA9" s="827"/>
      <c r="AB9" s="2229"/>
      <c r="AC9" s="2229"/>
      <c r="AD9" s="827"/>
      <c r="AE9" s="2223"/>
      <c r="AF9" s="2223"/>
      <c r="AG9" s="2223"/>
      <c r="AH9" s="2223"/>
      <c r="AT9" s="447">
        <v>44</v>
      </c>
    </row>
    <row r="10" ht="12" hidden="1" customHeight="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r="11" s="1641" customFormat="1" ht="11.25" hidden="1" customHeight="1">
      <c r="C11" s="498"/>
      <c r="D11" s="499" t="s">
        <v>378</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r="12" ht="14.65" customHeight="1">
      <c r="A12" s="447"/>
      <c r="C12" s="450"/>
      <c r="D12" s="434" t="s">
        <v>109</v>
      </c>
      <c r="E12" s="1777" t="s">
        <v>22</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379</v>
      </c>
      <c r="AF12" s="2221" t="s">
        <v>380</v>
      </c>
      <c r="AG12" s="2221" t="s">
        <v>381</v>
      </c>
      <c r="AH12" s="2221" t="s">
        <v>382</v>
      </c>
      <c r="AI12" s="447"/>
      <c r="AM12" s="511"/>
      <c r="AP12" s="500" t="s">
        <v>383</v>
      </c>
      <c r="AQ12" s="500" t="s">
        <v>383</v>
      </c>
      <c r="AT12" s="447">
        <v>14</v>
      </c>
    </row>
    <row r="13" ht="18" customHeight="1">
      <c r="A13" s="447"/>
      <c r="C13" s="450"/>
      <c r="D13" s="405"/>
      <c r="E13" s="869" t="str">
        <f>IF(TITLE_DIFFERENTIATION_TYPE="нет","","Добавить систему")</f>
        <v/>
      </c>
      <c r="F13" s="869" t="str">
        <f>IF(TITLE_DIFFERENTIATION_TYPE="нет","Добавить вид деятельности","")</f>
        <v xml:space="preserve">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r="14" ht="14.65" customHeight="1">
      <c r="AI14" s="447"/>
      <c r="AT14" s="447">
        <v>14</v>
      </c>
    </row>
    <row r="15" ht="14.65" customHeight="1">
      <c r="E15" s="758"/>
      <c r="L15" s="758"/>
      <c r="AT15" s="447">
        <v>14</v>
      </c>
    </row>
    <row r="16" ht="14.65" customHeight="1">
      <c r="L16" s="758"/>
      <c r="AT16" s="447">
        <v>14</v>
      </c>
    </row>
    <row r="17" ht="14.65" customHeight="1">
      <c r="L17" s="758"/>
      <c r="AT17" s="447">
        <v>14</v>
      </c>
    </row>
    <row r="18" ht="22.5" hidden="1" customHeight="1">
      <c r="A18" s="449" t="s">
        <v>81</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autoFilter="0" deleteColumns="0" deleteRows="0" formatColumns="0" formatRows="0" insertColumns="1" insertRows="0" sort="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2">
    <dataValidation sqref="E11:G11" allowBlank="1" error="Допускается ввод только неотрицательных чисел!" errorTitle="Ошибка" showErrorMessage="1"/>
    <dataValidation sqref="F12" allowBlank="1" prompt="Выберите один или несколько одновременно видов деятельности, выполнив последовательно по одному щелчку на строке с видом деятельности" showErrorMessage="1" showInputMessage="1"/>
  </dataValidations>
  <pageMargins left="0.69999999999999996" right="0.69999999999999996" top="0.75" bottom="0.75" header="0.29999999999999999" footer="0.29999999999999999"/>
  <pageSetup paperSize="9"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x14:dataValidation xr:uid="{003C002D-002A-4037-9078-00550038002C}" type="decimal" allowBlank="1" error="Допускается ввод только неотрицательных чисел!" errorTitle="Ошибка" showErrorMessage="1">
          <x14:formula1>
            <xm:f>0</xm:f>
          </x14:formula1>
          <x14:formula2>
            <xm:f>9.99999999999999E+23</xm:f>
          </x14:formula2>
          <xm:sqref>H11:AD11 T12 H12:I12 AB12 X12 K12 M12 O12 Q12</xm:sqref>
        </x14:dataValidation>
        <x14:dataValidation xr:uid="{00680085-00B6-46C8-B99B-009100B6009A}" type="textLength" allowBlank="1" error="Допускается ввод не более 900 символов!" errorTitle="Ошибка" operator="lessThanOrEqual" showErrorMessage="1" showInputMessage="1">
          <x14:formula1>
            <xm:f>900</xm:f>
          </x14:formula1>
          <xm:sqref>E12</xm:sqref>
        </x14:dataValidation>
        <x14:dataValidation xr:uid="{004100D6-0009-4044-9E13-007C00BE0064}" type="whole" allowBlank="1" error="Допускается ввод только неотрицательных целых чисел!" errorTitle="Ошибка" showErrorMessage="1">
          <x14:formula1>
            <xm:f>0</xm:f>
          </x14:formula1>
          <x14:formula2>
            <xm:f>9.99999999999999E+23</xm:f>
          </x14:formula2>
          <xm:sqref>N12 P12 U12:V12 Y12:Z12 J12 R12:S12 AC12</xm:sqref>
        </x14:dataValidation>
        <x14:dataValidation xr:uid="{00350098-0022-4409-89BD-0024000800DE}" type="list" allowBlank="1" error="Выберите значение из списка" errorTitle="Ошибка" prompt="Выберите значение из списка" showErrorMessage="1" showInputMessage="1">
          <x14:formula1>
            <xm:f>kind_of_power_te_unit</xm:f>
          </x14:formula1>
          <xm:sqref>L12</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3" tint="0.59999999999999998"/>
  </sheetPr>
  <sheetViews>
    <sheetView showGridLines="0" topLeftCell="A1" zoomScale="90" workbookViewId="0">
      <selection activeCell="A1" sqref="A1"/>
    </sheetView>
  </sheetViews>
  <sheetFormatPr defaultColWidth="10.57421875" defaultRowHeight="14.25" customHeight="1"/>
  <cols>
    <col customWidth="1" hidden="1" min="1" max="1" style="1632" width="9.140625"/>
    <col customWidth="1" hidden="1" min="2" max="2" style="1635" width="9.140625"/>
    <col customWidth="1" min="3" max="3" style="1842" width="3.00390625"/>
    <col customWidth="1" min="4" max="4" style="1635" width="5.00390625"/>
    <col customWidth="1" min="5" max="5" style="1635" width="38.00390625"/>
    <col customWidth="1" min="6" max="7" style="1635" width="3.00390625"/>
    <col customWidth="1" min="8" max="8" style="1635" width="38.00390625"/>
    <col customWidth="1" min="9" max="9" style="1635" width="35.00390625"/>
    <col customWidth="1" min="10" max="10" style="1635" width="103.00390625"/>
    <col customWidth="1" min="11" max="11" style="1819" width="3.00390625"/>
    <col customWidth="1" min="12" max="14" style="1642" width="10.00390625"/>
    <col customWidth="1" min="15" max="15" style="1642" width="13.00390625"/>
    <col customWidth="1" min="16" max="16" style="1642" width="15.00390625"/>
    <col customWidth="1" min="17" max="17" style="1642" width="16.00390625"/>
    <col customWidth="1" min="18" max="21" style="1642" width="10.00390625"/>
    <col hidden="1" min="22" max="22" style="1635" width="10.57421875"/>
  </cols>
  <sheetData>
    <row r="1" ht="22.5" hidden="1" customHeight="1">
      <c r="E1" s="412"/>
      <c r="F1" s="412"/>
      <c r="G1" s="412"/>
      <c r="H1" s="2217" t="s">
        <v>354</v>
      </c>
      <c r="I1" s="2217"/>
      <c r="V1" s="1607" t="s">
        <v>14</v>
      </c>
    </row>
    <row r="2" s="1635" customFormat="1" ht="14.25" hidden="1" customHeight="1">
      <c r="C2" s="1619"/>
      <c r="D2" s="2233" t="s">
        <v>109</v>
      </c>
      <c r="E2" s="2235"/>
      <c r="F2" s="1625"/>
      <c r="G2" s="1620" t="s">
        <v>109</v>
      </c>
      <c r="H2" s="1623"/>
      <c r="I2" s="1621"/>
      <c r="L2" s="1622"/>
      <c r="M2" s="1622"/>
      <c r="N2" s="1622"/>
      <c r="O2" s="1622" t="s">
        <v>384</v>
      </c>
      <c r="P2" s="1622"/>
      <c r="Q2" s="1622"/>
      <c r="R2" s="1624" t="s">
        <v>383</v>
      </c>
      <c r="S2" s="1624" t="s">
        <v>383</v>
      </c>
      <c r="T2" s="1622"/>
      <c r="U2" s="1622"/>
      <c r="V2" s="1618">
        <v>0</v>
      </c>
    </row>
    <row r="3" s="1635" customFormat="1" ht="14.25" hidden="1" customHeight="1">
      <c r="C3" s="1619"/>
      <c r="D3" s="2234"/>
      <c r="E3" s="2236"/>
      <c r="F3" s="405"/>
      <c r="G3" s="869"/>
      <c r="H3" s="869" t="s">
        <v>385</v>
      </c>
      <c r="I3" s="313"/>
      <c r="L3" s="1622"/>
      <c r="M3" s="1622"/>
      <c r="N3" s="1622"/>
      <c r="O3" s="1622"/>
      <c r="P3" s="1622"/>
      <c r="Q3" s="1622"/>
      <c r="R3" s="1624"/>
      <c r="S3" s="1624"/>
      <c r="T3" s="1622"/>
      <c r="U3" s="1622"/>
      <c r="V3" s="1618">
        <v>0</v>
      </c>
    </row>
    <row r="4" ht="14.25" hidden="1" customHeight="1">
      <c r="V4" s="1607">
        <v>0</v>
      </c>
    </row>
    <row r="5" s="1613" customFormat="1" ht="5.25" customHeight="1">
      <c r="C5" s="701"/>
      <c r="D5" s="702"/>
      <c r="E5" s="702"/>
      <c r="F5" s="702"/>
      <c r="G5" s="702"/>
      <c r="H5" s="702" t="s">
        <v>358</v>
      </c>
      <c r="I5" s="702"/>
      <c r="J5" s="702"/>
      <c r="L5" s="1614"/>
      <c r="M5" s="1614"/>
      <c r="N5" s="1614"/>
      <c r="O5" s="1614"/>
      <c r="P5" s="1614"/>
      <c r="Q5" s="1614"/>
      <c r="R5" s="1614"/>
      <c r="S5" s="1614"/>
      <c r="T5" s="1614"/>
      <c r="U5" s="1614"/>
      <c r="V5" s="1613">
        <v>5</v>
      </c>
    </row>
    <row r="6" ht="29.25" customHeight="1">
      <c r="C6" s="1516"/>
      <c r="D6" s="2237" t="s">
        <v>386</v>
      </c>
      <c r="E6" s="2237"/>
      <c r="F6" s="2237"/>
      <c r="G6" s="2237"/>
      <c r="H6" s="2237"/>
      <c r="I6" s="2237"/>
      <c r="J6" s="491"/>
      <c r="K6" s="1615"/>
      <c r="V6" s="1607">
        <v>28</v>
      </c>
    </row>
    <row r="7" ht="18" customHeight="1">
      <c r="C7" s="1516"/>
      <c r="D7" s="2176" t="str">
        <f>IF(org=0,"Не определено",org)</f>
        <v xml:space="preserve">филиал ПАО "ОГК-2" - Рязанская ГРЭС</v>
      </c>
      <c r="E7" s="2176"/>
      <c r="F7" s="2176"/>
      <c r="G7" s="2176"/>
      <c r="H7" s="2176"/>
      <c r="I7" s="2176"/>
      <c r="J7" s="491"/>
      <c r="K7" s="1615"/>
      <c r="V7" s="1607">
        <v>17</v>
      </c>
    </row>
    <row r="8" s="1612" customFormat="1" ht="5.25" customHeight="1">
      <c r="A8" s="1611"/>
      <c r="C8" s="486"/>
      <c r="D8" s="485"/>
      <c r="E8" s="485"/>
      <c r="F8" s="485"/>
      <c r="G8" s="485"/>
      <c r="H8" s="485"/>
      <c r="I8" s="485"/>
      <c r="J8" s="485"/>
      <c r="L8" s="1614"/>
      <c r="M8" s="1614"/>
      <c r="N8" s="1614"/>
      <c r="O8" s="1614"/>
      <c r="P8" s="1614"/>
      <c r="Q8" s="1614"/>
      <c r="R8" s="1614"/>
      <c r="S8" s="1614"/>
      <c r="T8" s="1614"/>
      <c r="U8" s="1614"/>
      <c r="V8" s="1612">
        <v>5</v>
      </c>
    </row>
    <row r="9" s="1612" customFormat="1" ht="5.25" customHeight="1">
      <c r="A9" s="1611"/>
      <c r="C9" s="486"/>
      <c r="D9" s="485"/>
      <c r="E9" s="485"/>
      <c r="F9" s="485"/>
      <c r="G9" s="485"/>
      <c r="H9" s="485"/>
      <c r="I9" s="485"/>
      <c r="J9" s="485"/>
      <c r="L9" s="1622"/>
      <c r="M9" s="1622"/>
      <c r="N9" s="1622"/>
      <c r="O9" s="1622"/>
      <c r="P9" s="1622"/>
      <c r="Q9" s="1622"/>
      <c r="R9" s="1622"/>
      <c r="S9" s="1622"/>
      <c r="T9" s="1622"/>
      <c r="U9" s="1622"/>
      <c r="V9" s="1612">
        <v>5</v>
      </c>
    </row>
    <row r="10" ht="14.65" customHeight="1">
      <c r="C10" s="1516"/>
      <c r="D10" s="2218" t="s">
        <v>302</v>
      </c>
      <c r="E10" s="2219"/>
      <c r="F10" s="2219"/>
      <c r="G10" s="2219"/>
      <c r="H10" s="2219"/>
      <c r="I10" s="2219"/>
      <c r="J10" s="2223" t="s">
        <v>303</v>
      </c>
      <c r="V10" s="1607">
        <v>14</v>
      </c>
    </row>
    <row r="11" ht="27.300000000000001" customHeight="1">
      <c r="C11" s="1516"/>
      <c r="D11" s="2127" t="s">
        <v>87</v>
      </c>
      <c r="E11" s="2223" t="s">
        <v>105</v>
      </c>
      <c r="F11" s="2192" t="s">
        <v>87</v>
      </c>
      <c r="G11" s="2193"/>
      <c r="H11" s="2175" t="s">
        <v>387</v>
      </c>
      <c r="I11" s="2175" t="s">
        <v>388</v>
      </c>
      <c r="J11" s="2223"/>
      <c r="V11" s="1607">
        <v>26</v>
      </c>
    </row>
    <row r="12" ht="14.65" customHeight="1">
      <c r="C12" s="1516"/>
      <c r="D12" s="2127"/>
      <c r="E12" s="2223"/>
      <c r="F12" s="2200"/>
      <c r="G12" s="2201"/>
      <c r="H12" s="2232"/>
      <c r="I12" s="2232"/>
      <c r="J12" s="2223"/>
      <c r="V12" s="1607">
        <v>14</v>
      </c>
    </row>
    <row r="13" s="1641" customFormat="1" ht="11.25" hidden="1" customHeight="1">
      <c r="C13" s="498"/>
      <c r="D13" s="499" t="s">
        <v>378</v>
      </c>
      <c r="E13" s="499"/>
      <c r="F13" s="499"/>
      <c r="G13" s="499"/>
      <c r="H13" s="497"/>
      <c r="I13" s="497"/>
      <c r="J13" s="435"/>
      <c r="L13" s="1614"/>
      <c r="M13" s="1614"/>
      <c r="N13" s="1614"/>
      <c r="O13" s="1614"/>
      <c r="P13" s="1614"/>
      <c r="Q13" s="1614"/>
      <c r="R13" s="1614"/>
      <c r="S13" s="1614"/>
      <c r="T13" s="1614"/>
      <c r="U13" s="1614"/>
      <c r="V13" s="496">
        <v>0</v>
      </c>
    </row>
    <row r="14" ht="14.65" customHeight="1">
      <c r="A14" s="1607"/>
      <c r="C14" s="1516"/>
      <c r="D14" s="2233" t="s">
        <v>109</v>
      </c>
      <c r="E14" s="2235"/>
      <c r="F14" s="1617"/>
      <c r="G14" s="1616" t="s">
        <v>109</v>
      </c>
      <c r="H14" s="1623"/>
      <c r="I14" s="1621"/>
      <c r="J14" s="2169" t="s">
        <v>389</v>
      </c>
      <c r="K14" s="1607"/>
      <c r="R14" s="500" t="s">
        <v>383</v>
      </c>
      <c r="S14" s="500" t="s">
        <v>383</v>
      </c>
      <c r="V14" s="1607">
        <v>14</v>
      </c>
    </row>
    <row r="15" ht="14.65" customHeight="1">
      <c r="A15" s="1607"/>
      <c r="C15" s="1516"/>
      <c r="D15" s="2234"/>
      <c r="E15" s="2236"/>
      <c r="F15" s="405"/>
      <c r="G15" s="869"/>
      <c r="H15" s="869" t="s">
        <v>385</v>
      </c>
      <c r="I15" s="313"/>
      <c r="J15" s="2170"/>
      <c r="K15" s="1607"/>
      <c r="R15" s="500"/>
      <c r="S15" s="500"/>
      <c r="V15" s="1607">
        <v>14</v>
      </c>
    </row>
    <row r="16" ht="14.65" customHeight="1">
      <c r="A16" s="1607"/>
      <c r="C16" s="1516"/>
      <c r="D16" s="405"/>
      <c r="E16" s="869" t="s">
        <v>125</v>
      </c>
      <c r="F16" s="313"/>
      <c r="G16" s="313"/>
      <c r="H16" s="406"/>
      <c r="I16" s="406"/>
      <c r="J16" s="2171"/>
      <c r="K16" s="1607"/>
      <c r="V16" s="1607">
        <v>14</v>
      </c>
    </row>
    <row r="17" ht="14.65" customHeight="1">
      <c r="K17" s="1607"/>
      <c r="V17" s="1607">
        <v>14</v>
      </c>
    </row>
    <row r="18" ht="22.5" hidden="1" customHeight="1">
      <c r="A18" s="1608" t="s">
        <v>81</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autoFilter="0" deleteColumns="0" deleteRows="0" formatColumns="0" formatRows="0" insertColumns="1" insertRows="0" sort="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2">
    <dataValidation sqref="E14 E2" allowBlank="1" prompt="Выберите один или несколько одновременно видов деятельности, выполнив последовательно по одному щелчку на строке с видом деятельности" showErrorMessage="1" showInputMessage="1"/>
    <dataValidation sqref="E13:G13" allowBlank="1" error="Допускается ввод только неотрицательных чисел!" errorTitle="Ошибка" showErrorMessage="1"/>
  </dataValidations>
  <pageMargins left="0.69999999999999996" right="0.69999999999999996" top="0.75" bottom="0.75" header="0.29999999999999999" footer="0.29999999999999999"/>
  <pageSetup paperSize="9"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3">
        <x14:dataValidation xr:uid="{00B200CE-00F7-4A18-A624-00CA00EE005A}" type="whole" allowBlank="1" error="Допускается ввод только неотрицательных целых чисел!" errorTitle="Ошибка" showErrorMessage="1">
          <x14:formula1>
            <xm:f>0</xm:f>
          </x14:formula1>
          <x14:formula2>
            <xm:f>9.99999999999999E+23</xm:f>
          </x14:formula2>
          <xm:sqref>I14 I2</xm:sqref>
        </x14:dataValidation>
        <x14:dataValidation xr:uid="{007A00DE-0043-4416-B688-00BE005F00AD}" type="decimal" allowBlank="1" error="Допускается ввод только неотрицательных чисел!" errorTitle="Ошибка" showErrorMessage="1">
          <x14:formula1>
            <xm:f>0</xm:f>
          </x14:formula1>
          <x14:formula2>
            <xm:f>9.99999999999999E+23</xm:f>
          </x14:formula2>
          <xm:sqref>H13:I13</xm:sqref>
        </x14:dataValidation>
        <x14:dataValidation xr:uid="{00420086-00EA-4A63-8A80-0014005A0001}" type="textLength" allowBlank="1" error="Допускается ввод не более 900 символов!" errorTitle="Ошибка" operator="lessThanOrEqual" showErrorMessage="1" showInputMessage="1">
          <x14:formula1>
            <xm:f>900</xm:f>
          </x14:formula1>
          <xm:sqref>H14 H2</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3" tint="0.59999999999999998"/>
  </sheetPr>
  <sheetViews>
    <sheetView showGridLines="0" topLeftCell="A1" zoomScale="90" workbookViewId="0">
      <selection activeCell="A1" sqref="A1"/>
    </sheetView>
  </sheetViews>
  <sheetFormatPr defaultColWidth="10.57421875" defaultRowHeight="14.25" customHeight="1"/>
  <cols>
    <col customWidth="1" hidden="1" min="1" max="1" style="1632" width="9.140625"/>
    <col customWidth="1" hidden="1" min="2" max="3" style="1635" width="9.140625"/>
    <col customWidth="1" min="4" max="4" style="1842" width="3.00390625"/>
    <col customWidth="1" min="5" max="5" style="1635" width="6.00390625"/>
    <col customWidth="1" hidden="1" min="6" max="6" style="1635" width="1.7109375"/>
    <col customWidth="1" min="7" max="8" style="1635" width="30.00390625"/>
    <col customWidth="1" min="9" max="9" style="1635" width="8.00390625"/>
    <col customWidth="1" min="10" max="10" style="1635" width="12.140625"/>
    <col customWidth="1" min="11" max="11" style="1635" width="46.00390625"/>
    <col customWidth="1" min="12" max="12" style="1635" width="100.00390625"/>
    <col customWidth="1" min="13" max="13" style="1819" width="7.00390625"/>
    <col customWidth="1" min="14" max="22" style="1635" width="10.00390625"/>
    <col hidden="1" min="23" max="23" style="1635" width="10.57421875"/>
  </cols>
  <sheetData>
    <row r="1" s="1642" customFormat="1" ht="5.25" hidden="1" customHeight="1">
      <c r="C1" s="511"/>
      <c r="D1" s="494"/>
      <c r="F1" s="511"/>
      <c r="G1" s="489" t="s">
        <v>82</v>
      </c>
      <c r="H1" s="489" t="s">
        <v>83</v>
      </c>
      <c r="I1" s="489" t="s">
        <v>84</v>
      </c>
      <c r="P1" s="489" t="s">
        <v>82</v>
      </c>
      <c r="Q1" s="489" t="s">
        <v>83</v>
      </c>
      <c r="R1" s="489" t="s">
        <v>84</v>
      </c>
      <c r="W1" s="489" t="s">
        <v>14</v>
      </c>
    </row>
    <row r="2" s="1642" customFormat="1" ht="5.25" hidden="1" customHeight="1">
      <c r="C2" s="511"/>
      <c r="D2" s="494"/>
      <c r="F2" s="511"/>
      <c r="W2" s="489">
        <v>0</v>
      </c>
    </row>
    <row r="3" s="1612" customFormat="1" ht="5.25" customHeight="1">
      <c r="A3" s="479"/>
      <c r="D3" s="486"/>
      <c r="E3" s="481"/>
      <c r="F3" s="481"/>
      <c r="G3" s="481"/>
      <c r="H3" s="481"/>
      <c r="I3" s="482"/>
      <c r="J3" s="483"/>
      <c r="K3" s="483"/>
      <c r="L3" s="483"/>
      <c r="W3" s="480">
        <v>5</v>
      </c>
    </row>
    <row r="4" ht="23.25" customHeight="1">
      <c r="D4" s="450"/>
      <c r="E4" s="2238" t="s">
        <v>390</v>
      </c>
      <c r="F4" s="2238"/>
      <c r="G4" s="2239"/>
      <c r="H4" s="2239"/>
      <c r="I4" s="2240"/>
      <c r="J4" s="491"/>
      <c r="K4" s="453"/>
      <c r="L4" s="453"/>
      <c r="W4" s="447">
        <v>22</v>
      </c>
    </row>
    <row r="5" s="1635" customFormat="1" ht="18" customHeight="1">
      <c r="A5" s="759"/>
      <c r="D5" s="822"/>
      <c r="E5" s="2214" t="str">
        <f>IF(org=0,"Не определено",org)</f>
        <v xml:space="preserve">филиал ПАО "ОГК-2" - Рязанская ГРЭС</v>
      </c>
      <c r="F5" s="2214"/>
      <c r="G5" s="2215"/>
      <c r="H5" s="2215"/>
      <c r="I5" s="2216"/>
      <c r="J5" s="491"/>
      <c r="K5" s="453"/>
      <c r="L5" s="453"/>
      <c r="M5" s="507"/>
      <c r="W5" s="758">
        <v>17</v>
      </c>
    </row>
    <row r="6" s="1612" customFormat="1" ht="11.5" customHeight="1">
      <c r="A6" s="479"/>
      <c r="D6" s="486"/>
      <c r="E6" s="481"/>
      <c r="F6" s="481"/>
      <c r="G6" s="484"/>
      <c r="H6" s="484"/>
      <c r="I6" s="485"/>
      <c r="J6" s="485"/>
      <c r="K6" s="752"/>
      <c r="L6" s="485"/>
      <c r="W6" s="480">
        <v>11</v>
      </c>
    </row>
    <row r="7" ht="14.65" customHeight="1">
      <c r="D7" s="450"/>
      <c r="E7" s="2208" t="s">
        <v>302</v>
      </c>
      <c r="F7" s="2208"/>
      <c r="G7" s="2209"/>
      <c r="H7" s="2209"/>
      <c r="I7" s="2209"/>
      <c r="J7" s="2209"/>
      <c r="K7" s="2209"/>
      <c r="L7" s="2223" t="s">
        <v>303</v>
      </c>
      <c r="W7" s="447">
        <v>14</v>
      </c>
    </row>
    <row r="8" ht="48.25" customHeight="1">
      <c r="D8" s="450"/>
      <c r="E8" s="473" t="s">
        <v>87</v>
      </c>
      <c r="F8" s="823"/>
      <c r="G8" s="465" t="s">
        <v>85</v>
      </c>
      <c r="H8" s="465" t="s">
        <v>86</v>
      </c>
      <c r="I8" s="414" t="s">
        <v>84</v>
      </c>
      <c r="J8" s="414" t="s">
        <v>391</v>
      </c>
      <c r="K8" s="414" t="s">
        <v>392</v>
      </c>
      <c r="L8" s="2223"/>
      <c r="W8" s="447">
        <v>46</v>
      </c>
    </row>
    <row r="9" ht="12" hidden="1" customHeight="1">
      <c r="D9" s="487"/>
      <c r="E9" s="493"/>
      <c r="F9" s="830"/>
      <c r="G9" s="493"/>
      <c r="H9" s="493"/>
      <c r="I9" s="493"/>
      <c r="J9" s="493"/>
      <c r="K9" s="493"/>
      <c r="L9" s="493"/>
      <c r="M9" s="447"/>
      <c r="W9" s="447">
        <v>0</v>
      </c>
    </row>
    <row r="10" ht="14.25" hidden="1" customHeight="1">
      <c r="A10" s="505"/>
      <c r="B10" s="505"/>
      <c r="D10" s="506"/>
      <c r="E10" s="512">
        <v>0</v>
      </c>
      <c r="F10" s="821"/>
      <c r="G10" s="508"/>
      <c r="H10" s="508"/>
      <c r="I10" s="508"/>
      <c r="J10" s="508"/>
      <c r="K10" s="508"/>
      <c r="L10" s="2221" t="s">
        <v>393</v>
      </c>
      <c r="M10" s="507"/>
      <c r="N10" s="505"/>
      <c r="O10" s="505"/>
      <c r="P10" s="505"/>
      <c r="Q10" s="505"/>
      <c r="R10" s="505"/>
      <c r="S10" s="505"/>
      <c r="T10" s="505"/>
      <c r="U10" s="505"/>
      <c r="V10" s="505"/>
      <c r="W10" s="447">
        <v>0</v>
      </c>
    </row>
    <row r="11" ht="15" hidden="1" customHeight="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r="12" s="1612" customFormat="1" ht="15" customHeight="1">
      <c r="A12" s="2099"/>
      <c r="B12" s="504"/>
      <c r="C12" s="504"/>
      <c r="D12" s="866"/>
      <c r="E12" s="823">
        <v>1</v>
      </c>
      <c r="F12" s="864">
        <v>23</v>
      </c>
      <c r="G12" s="863"/>
      <c r="H12" s="793"/>
      <c r="I12" s="791"/>
      <c r="J12" s="520" t="s">
        <v>65</v>
      </c>
      <c r="K12" s="1164" t="s">
        <v>22</v>
      </c>
      <c r="L12" s="2241"/>
      <c r="M12" s="511"/>
      <c r="N12" s="511"/>
      <c r="O12" s="511"/>
      <c r="P12" s="516" t="s">
        <v>394</v>
      </c>
      <c r="Q12" s="516" t="s">
        <v>395</v>
      </c>
      <c r="R12" s="517" t="s">
        <v>396</v>
      </c>
      <c r="S12" s="511" t="s">
        <v>397</v>
      </c>
      <c r="T12" s="511"/>
      <c r="U12" s="511"/>
      <c r="V12" s="511"/>
      <c r="W12" s="480">
        <v>14</v>
      </c>
    </row>
    <row r="13" ht="15.75" customHeight="1">
      <c r="A13" s="2099"/>
      <c r="B13" s="505"/>
      <c r="D13" s="506"/>
      <c r="E13" s="405"/>
      <c r="F13" s="529"/>
      <c r="G13" s="416" t="s">
        <v>102</v>
      </c>
      <c r="H13" s="404"/>
      <c r="I13" s="404"/>
      <c r="J13" s="404"/>
      <c r="K13" s="403"/>
      <c r="L13" s="2222"/>
      <c r="M13" s="509"/>
      <c r="N13" s="505"/>
      <c r="O13" s="505"/>
      <c r="P13" s="505"/>
      <c r="Q13" s="505"/>
      <c r="R13" s="505"/>
      <c r="S13" s="505"/>
      <c r="T13" s="505"/>
      <c r="U13" s="505"/>
      <c r="V13" s="505"/>
      <c r="W13" s="447">
        <v>15</v>
      </c>
    </row>
    <row r="14" ht="11.5" customHeight="1">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r="15" ht="14.65" customHeight="1">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 xml:space="preserve">&lt;1&gt;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r="H15" s="466"/>
      <c r="I15" s="466"/>
      <c r="J15" s="466"/>
      <c r="K15" s="466"/>
      <c r="L15" s="466"/>
      <c r="W15" s="447">
        <v>14</v>
      </c>
    </row>
    <row r="16" ht="14.65" customHeight="1">
      <c r="W16" s="447">
        <v>14</v>
      </c>
    </row>
    <row r="17" ht="14.65" customHeight="1">
      <c r="W17" s="447">
        <v>14</v>
      </c>
    </row>
    <row r="18" ht="14.65" customHeight="1">
      <c r="G18" s="505"/>
      <c r="W18" s="447">
        <v>14</v>
      </c>
    </row>
    <row r="19" ht="22.5" hidden="1" customHeight="1">
      <c r="A19" s="449" t="s">
        <v>81</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autoFilter="0" deleteColumns="0" deleteRows="0" formatColumns="0" formatRows="0" insertColumns="1" insertRows="0" sort="0"/>
  <mergeCells count="6">
    <mergeCell ref="A11:A13"/>
    <mergeCell ref="E4:I4"/>
    <mergeCell ref="E7:K7"/>
    <mergeCell ref="L7:L8"/>
    <mergeCell ref="L10:L13"/>
    <mergeCell ref="E5:I5"/>
  </mergeCells>
  <dataValidations count="1">
    <dataValidation sqref="J12" allowBlank="1" prompt="Изменение значения по двойному щелчоку левой кнопки мыши" showErrorMessage="1" showInputMessage="1"/>
  </dataValidations>
  <pageMargins left="0.69999999999999996" right="0.69999999999999996" top="0.75" bottom="0.75" header="0.29999999999999999" footer="0.29999999999999999"/>
  <pageSetup paperSize="9"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2">
        <x14:dataValidation xr:uid="{00270031-004A-43CD-AF51-00B200AA00F2}" type="decimal" allowBlank="1" error="Допускается ввод только неотрицательных чисел!" errorTitle="Ошибка" showErrorMessage="1">
          <x14:formula1>
            <xm:f>0</xm:f>
          </x14:formula1>
          <x14:formula2>
            <xm:f>9.99999999999999E+23</xm:f>
          </x14:formula2>
          <xm:sqref>G10:K10</xm:sqref>
        </x14:dataValidation>
        <x14:dataValidation xr:uid="{009F0002-0087-48F2-87C8-00B900FB0038}" type="textLength" allowBlank="1" error="Допускается ввод не более 900 символов!" errorTitle="Ошибка" operator="lessThanOrEqual" prompt="Введите ссылку на обосновывающие материалы, загруженные с помощью &quot;ЕИАС Web&quot;." showErrorMessage="1" showInputMessage="1">
          <x14:formula1>
            <xm:f>900</xm:f>
          </x14:formula1>
          <xm:sqref>K12</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sheetPr>
  <sheetViews>
    <sheetView showGridLines="0" topLeftCell="A1" zoomScale="90" workbookViewId="0">
      <selection activeCell="A1" sqref="A1"/>
    </sheetView>
  </sheetViews>
  <sheetFormatPr defaultColWidth="10.57421875" defaultRowHeight="14.25" customHeight="1"/>
  <cols>
    <col hidden="1" min="1" max="1" style="1366" width="10.57421875"/>
    <col customWidth="1" hidden="1" min="2" max="2" style="1366" width="11.00390625"/>
    <col hidden="1" min="3" max="3" style="1366" width="10.57421875"/>
    <col customWidth="1" hidden="1" min="4" max="4" style="1366" width="11.8515625"/>
    <col customWidth="1" hidden="1" min="5" max="5" style="1366" width="10.00390625"/>
    <col customWidth="1" hidden="1" min="6" max="6" style="1366" width="8.7109375"/>
    <col customWidth="1" hidden="1" min="7" max="7" style="1366" width="7.57421875"/>
    <col customWidth="1" hidden="1" min="8" max="8" style="1366" width="11.421875"/>
    <col customWidth="1" hidden="1" min="9" max="9" style="1366" width="12.00390625"/>
    <col customWidth="1" hidden="1" min="10" max="10" style="1366" width="9.8515625"/>
    <col customWidth="1" hidden="1" min="11" max="11" style="1366" width="11.421875"/>
    <col customWidth="1" hidden="1" min="12" max="12" style="2607" width="19.140625"/>
    <col customWidth="1" hidden="1" min="13" max="14" style="1776" width="12.28125"/>
    <col customWidth="1" hidden="1" min="15" max="15" style="1776" width="23.421875"/>
    <col customWidth="1" min="16" max="16" style="2397" width="3.00390625"/>
    <col customWidth="1" min="17" max="18" style="344" width="3.00390625"/>
    <col customWidth="1" min="19" max="19" style="2407" width="12.00390625"/>
    <col customWidth="1" min="20" max="20" style="1635" width="35.00390625"/>
    <col customWidth="1" min="21" max="21" style="1635" width="0.140625"/>
    <col customWidth="1" hidden="1" min="22" max="22" style="1635" width="24.7109375"/>
    <col customWidth="1" hidden="1" min="23" max="23" style="1635" width="0.140625"/>
    <col customWidth="1" hidden="1" min="24" max="25" style="1635" width="24.7109375"/>
    <col customWidth="1" hidden="1" min="26" max="26" style="1635" width="11.7109375"/>
    <col customWidth="1" hidden="1" min="27" max="27" style="1635" width="3.7109375"/>
    <col customWidth="1" hidden="1" min="28" max="28" style="1635" width="11.7109375"/>
    <col customWidth="1" hidden="1" min="29" max="29" style="1635" width="8.57421875"/>
    <col customWidth="1" min="30" max="30" style="1635" width="24.7109375"/>
    <col customWidth="1" min="31" max="31" style="1635" width="0.140625"/>
    <col customWidth="1" min="32" max="33" style="1635" width="24.00390625"/>
    <col customWidth="1" min="34" max="34" style="1635" width="11.00390625"/>
    <col customWidth="1" min="35" max="35" style="1635" width="3.7109375"/>
    <col customWidth="1" min="36" max="36" style="1635" width="11.00390625"/>
    <col customWidth="1" hidden="1" min="37" max="37" style="1635" width="8.57421875"/>
    <col customWidth="1" min="38" max="38" style="1635" width="4.00390625"/>
    <col customWidth="1" min="39" max="39" style="1635" width="115.00390625"/>
    <col customWidth="1" min="40" max="44" style="1642" width="10.00390625"/>
    <col hidden="1" min="45" max="45" style="1635" width="10.57421875"/>
  </cols>
  <sheetData>
    <row r="1" ht="22.5" hidden="1" customHeight="1">
      <c r="Y1" s="327"/>
      <c r="Z1" s="327"/>
      <c r="AG1" s="327"/>
      <c r="AH1" s="327"/>
      <c r="AS1" s="1155" t="s">
        <v>14</v>
      </c>
    </row>
    <row r="2" ht="21" hidden="1" customHeight="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127</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398</v>
      </c>
      <c r="AO2" s="500"/>
      <c r="AP2" s="500" t="str">
        <f>IF(T2="","",T2)</f>
        <v xml:space="preserve">Наименование тарифа</v>
      </c>
      <c r="AQ2" s="500"/>
      <c r="AR2" s="500"/>
      <c r="AS2" s="1155">
        <v>0</v>
      </c>
    </row>
    <row r="3" ht="21" hidden="1" customHeight="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399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400</v>
      </c>
      <c r="AO3" s="500"/>
      <c r="AP3" s="500" t="str">
        <f>IF(T3="","",T3)</f>
        <v xml:space="preserve">Территория действия тарифа</v>
      </c>
      <c r="AQ3" s="500"/>
      <c r="AR3" s="500"/>
      <c r="AS3" s="1155">
        <v>0</v>
      </c>
    </row>
    <row r="4" ht="23.25" hidden="1" customHeight="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401</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402</v>
      </c>
      <c r="AO4" s="500"/>
      <c r="AP4" s="500" t="str">
        <f>IF(T4="","",T4)</f>
        <v xml:space="preserve">Наименование системы теплоснабжения</v>
      </c>
      <c r="AQ4" s="500"/>
      <c r="AR4" s="500"/>
      <c r="AS4" s="1155">
        <v>0</v>
      </c>
    </row>
    <row r="5" ht="21" hidden="1" customHeight="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403</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404</v>
      </c>
      <c r="AO5" s="500"/>
      <c r="AP5" s="500" t="str">
        <f>IF(T5="","",T5)</f>
        <v xml:space="preserve">Источник тепловой энергии</v>
      </c>
      <c r="AQ5" s="500"/>
      <c r="AR5" s="500"/>
      <c r="AS5" s="1155">
        <v>0</v>
      </c>
    </row>
    <row r="6" ht="47.25" hidden="1" customHeight="1">
      <c r="A6" s="1363"/>
      <c r="B6" s="1363"/>
      <c r="C6" s="1363"/>
      <c r="D6" s="1363"/>
      <c r="E6" s="2259"/>
      <c r="F6" s="2259"/>
      <c r="G6" s="2259"/>
      <c r="H6" s="2259"/>
      <c r="I6" s="2256">
        <f>S5&amp;".1"</f>
      </c>
      <c r="J6" s="1363"/>
      <c r="K6" s="1363"/>
      <c r="L6" s="1364" t="s">
        <v>405</v>
      </c>
      <c r="M6" s="537"/>
      <c r="P6" s="2257">
        <v>1</v>
      </c>
      <c r="Q6" s="1305"/>
      <c r="R6" s="356"/>
      <c r="S6" s="1309">
        <f>$I6</f>
      </c>
      <c r="T6" s="285" t="s">
        <v>406</v>
      </c>
      <c r="U6" s="300"/>
      <c r="V6" s="2245"/>
      <c r="W6" s="2246"/>
      <c r="X6" s="2246"/>
      <c r="Y6" s="2246"/>
      <c r="Z6" s="2246"/>
      <c r="AA6" s="2246"/>
      <c r="AB6" s="2246"/>
      <c r="AC6" s="2247"/>
      <c r="AD6" s="2245"/>
      <c r="AE6" s="2246"/>
      <c r="AF6" s="2246"/>
      <c r="AG6" s="2246"/>
      <c r="AH6" s="2246"/>
      <c r="AI6" s="2246"/>
      <c r="AJ6" s="2246"/>
      <c r="AK6" s="2246"/>
      <c r="AL6" s="2247"/>
      <c r="AM6" s="1258" t="s">
        <v>407</v>
      </c>
      <c r="AO6" s="500"/>
      <c r="AP6" s="500" t="str">
        <f>IF(T6="","",T6)</f>
        <v xml:space="preserve">Схема подключения теплопотребляющей установки к коллектору источника тепловой энергии</v>
      </c>
      <c r="AQ6" s="500"/>
      <c r="AR6" s="500"/>
      <c r="AS6" s="1155">
        <v>0</v>
      </c>
    </row>
    <row r="7" ht="21" hidden="1" customHeight="1">
      <c r="A7" s="1363"/>
      <c r="B7" s="1363"/>
      <c r="C7" s="1363"/>
      <c r="D7" s="1363"/>
      <c r="E7" s="2259"/>
      <c r="F7" s="2259"/>
      <c r="G7" s="2259"/>
      <c r="H7" s="2259"/>
      <c r="I7" s="2286"/>
      <c r="J7" s="2256">
        <f>I6&amp;".1"</f>
      </c>
      <c r="K7" s="1363"/>
      <c r="L7" s="1364" t="s">
        <v>408</v>
      </c>
      <c r="M7" s="537"/>
      <c r="N7" s="1366"/>
      <c r="P7" s="2257"/>
      <c r="Q7" s="2257">
        <v>1</v>
      </c>
      <c r="R7" s="357"/>
      <c r="S7" s="1309">
        <f>$J7</f>
      </c>
      <c r="T7" s="286" t="s">
        <v>409</v>
      </c>
      <c r="U7" s="300"/>
      <c r="V7" s="2245"/>
      <c r="W7" s="2246"/>
      <c r="X7" s="2246"/>
      <c r="Y7" s="2246"/>
      <c r="Z7" s="2246"/>
      <c r="AA7" s="2246"/>
      <c r="AB7" s="2246"/>
      <c r="AC7" s="2247"/>
      <c r="AD7" s="2245"/>
      <c r="AE7" s="2246"/>
      <c r="AF7" s="2246"/>
      <c r="AG7" s="2246"/>
      <c r="AH7" s="2246"/>
      <c r="AI7" s="2246"/>
      <c r="AJ7" s="2246"/>
      <c r="AK7" s="2246"/>
      <c r="AL7" s="2247"/>
      <c r="AM7" s="1258" t="s">
        <v>410</v>
      </c>
      <c r="AO7" s="500"/>
      <c r="AP7" s="500" t="str">
        <f>IF(T7="","",T7)</f>
        <v xml:space="preserve">Группа потребителей</v>
      </c>
      <c r="AQ7" s="500"/>
      <c r="AR7" s="500"/>
      <c r="AS7" s="1155">
        <v>0</v>
      </c>
    </row>
    <row r="8" ht="21" hidden="1" customHeight="1">
      <c r="A8" s="1363"/>
      <c r="B8" s="1363"/>
      <c r="C8" s="1363"/>
      <c r="D8" s="1363"/>
      <c r="E8" s="2259"/>
      <c r="F8" s="2259"/>
      <c r="G8" s="2259"/>
      <c r="H8" s="2259"/>
      <c r="I8" s="2286"/>
      <c r="J8" s="2286"/>
      <c r="K8" s="2256">
        <f>J7&amp;".1"</f>
      </c>
      <c r="L8" s="1364" t="s">
        <v>411</v>
      </c>
      <c r="M8" s="537"/>
      <c r="N8" s="1366"/>
      <c r="O8" s="1366"/>
      <c r="P8" s="2257"/>
      <c r="Q8" s="2257"/>
      <c r="R8" s="357">
        <v>1</v>
      </c>
      <c r="S8" s="1309">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412</v>
      </c>
      <c r="AN8" s="511">
        <f>STRCHECKDATE(V9:AL9)</f>
      </c>
      <c r="AO8" s="500"/>
      <c r="AP8" s="500" t="str">
        <f>IF(T8="","",T8)</f>
        <v/>
      </c>
      <c r="AQ8" s="500"/>
      <c r="AR8" s="500"/>
      <c r="AS8" s="1155">
        <v>0</v>
      </c>
    </row>
    <row r="9" ht="0.75" hidden="1" customHeight="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r="10" ht="15" hidden="1" customHeight="1">
      <c r="A10" s="1363"/>
      <c r="B10" s="1363"/>
      <c r="C10" s="1363"/>
      <c r="D10" s="1363"/>
      <c r="E10" s="2259"/>
      <c r="F10" s="2259"/>
      <c r="G10" s="2259"/>
      <c r="H10" s="2259"/>
      <c r="I10" s="2286"/>
      <c r="J10" s="2256"/>
      <c r="K10" s="1363"/>
      <c r="L10" s="1364"/>
      <c r="M10" s="537"/>
      <c r="N10" s="1366"/>
      <c r="P10" s="2257"/>
      <c r="Q10" s="2257"/>
      <c r="R10" s="356"/>
      <c r="S10" s="1278"/>
      <c r="T10" s="288" t="s">
        <v>413</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 xml:space="preserve">Добавить вид теплоносителя (параметры теплоносителя)</v>
      </c>
      <c r="AQ10" s="500"/>
      <c r="AR10" s="500"/>
      <c r="AS10" s="1155">
        <v>0</v>
      </c>
    </row>
    <row r="11" ht="15" hidden="1" customHeight="1">
      <c r="A11" s="1363"/>
      <c r="B11" s="1363"/>
      <c r="C11" s="1363"/>
      <c r="D11" s="1363"/>
      <c r="E11" s="2259"/>
      <c r="F11" s="2259"/>
      <c r="G11" s="2259"/>
      <c r="H11" s="2259"/>
      <c r="I11" s="2256"/>
      <c r="J11" s="1363"/>
      <c r="K11" s="1363"/>
      <c r="L11" s="1364"/>
      <c r="M11" s="537"/>
      <c r="P11" s="2257"/>
      <c r="Q11" s="1305"/>
      <c r="R11" s="356"/>
      <c r="S11" s="1278"/>
      <c r="T11" s="287" t="s">
        <v>414</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 xml:space="preserve">Добавить группу потребителей</v>
      </c>
      <c r="AQ11" s="500"/>
      <c r="AR11" s="500"/>
      <c r="AS11" s="1155">
        <v>0</v>
      </c>
    </row>
    <row r="12" ht="14.25" hidden="1" customHeight="1">
      <c r="A12" s="1363"/>
      <c r="B12" s="1363"/>
      <c r="C12" s="1363"/>
      <c r="D12" s="1363"/>
      <c r="E12" s="2259"/>
      <c r="F12" s="2259"/>
      <c r="G12" s="2259"/>
      <c r="H12" s="2258"/>
      <c r="I12" s="1363"/>
      <c r="J12" s="1363"/>
      <c r="K12" s="1363"/>
      <c r="L12" s="1364"/>
      <c r="M12" s="1365"/>
      <c r="N12" s="1365"/>
      <c r="O12" s="537"/>
      <c r="P12" s="360"/>
      <c r="Q12" s="375"/>
      <c r="R12" s="355"/>
      <c r="S12" s="1278"/>
      <c r="T12" s="365" t="s">
        <v>415</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 xml:space="preserve">Добавить схему подключения</v>
      </c>
      <c r="AQ12" s="500"/>
      <c r="AR12" s="500"/>
      <c r="AS12" s="1155">
        <v>0</v>
      </c>
    </row>
    <row r="13" s="1642" customFormat="1" ht="0.75" hidden="1" customHeight="1">
      <c r="A13" s="1314"/>
      <c r="B13" s="1314"/>
      <c r="C13" s="1314"/>
      <c r="D13" s="1314"/>
      <c r="E13" s="2259"/>
      <c r="F13" s="2259"/>
      <c r="G13" s="2258"/>
      <c r="H13" s="1314"/>
      <c r="I13" s="1314"/>
      <c r="J13" s="1314"/>
      <c r="K13" s="1314"/>
      <c r="L13" s="1339"/>
      <c r="M13" s="1315"/>
      <c r="N13" s="1315"/>
      <c r="P13" s="1316"/>
      <c r="Q13" s="1317"/>
      <c r="R13" s="1316"/>
      <c r="S13" s="1318"/>
      <c r="T13" s="1319" t="s">
        <v>416</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 xml:space="preserve">Добавить источник для дифференциации</v>
      </c>
      <c r="AQ13" s="789"/>
      <c r="AR13" s="789"/>
      <c r="AS13" s="518">
        <v>0</v>
      </c>
    </row>
    <row r="14" s="1642" customFormat="1" ht="0.75" hidden="1" customHeight="1">
      <c r="A14" s="1314"/>
      <c r="B14" s="1314"/>
      <c r="C14" s="1314"/>
      <c r="D14" s="1314"/>
      <c r="E14" s="2259"/>
      <c r="F14" s="2258"/>
      <c r="G14" s="1314"/>
      <c r="H14" s="1314"/>
      <c r="I14" s="1314"/>
      <c r="J14" s="1314"/>
      <c r="K14" s="1314"/>
      <c r="L14" s="1339"/>
      <c r="M14" s="1321"/>
      <c r="N14" s="1321"/>
      <c r="P14" s="1316"/>
      <c r="Q14" s="1317"/>
      <c r="R14" s="1316"/>
      <c r="S14" s="1322"/>
      <c r="T14" s="1323" t="s">
        <v>417</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 xml:space="preserve">Добавить централизованную систему для дифференциации</v>
      </c>
      <c r="AQ14" s="789"/>
      <c r="AR14" s="789"/>
      <c r="AS14" s="518">
        <v>0</v>
      </c>
    </row>
    <row r="15" s="1642" customFormat="1" ht="0.75" hidden="1" customHeight="1">
      <c r="A15" s="1314"/>
      <c r="B15" s="1314"/>
      <c r="C15" s="1314"/>
      <c r="D15" s="1314"/>
      <c r="E15" s="2258"/>
      <c r="F15" s="1314"/>
      <c r="G15" s="1314"/>
      <c r="H15" s="1314"/>
      <c r="I15" s="1314"/>
      <c r="J15" s="1314"/>
      <c r="K15" s="1314"/>
      <c r="L15" s="1339"/>
      <c r="M15" s="1321"/>
      <c r="N15" s="1321"/>
      <c r="P15" s="1316"/>
      <c r="Q15" s="1317"/>
      <c r="R15" s="1316"/>
      <c r="S15" s="1322"/>
      <c r="T15" s="1325" t="s">
        <v>418</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 xml:space="preserve">Добавить территорию для дифференциации</v>
      </c>
      <c r="AQ15" s="789"/>
      <c r="AR15" s="789"/>
      <c r="AS15" s="518">
        <v>0</v>
      </c>
    </row>
    <row r="16" ht="14.25" hidden="1" customHeight="1">
      <c r="AC16" s="327"/>
      <c r="AK16" s="327"/>
      <c r="AS16" s="1155">
        <v>0</v>
      </c>
    </row>
    <row r="17" ht="14.25" hidden="1" customHeight="1">
      <c r="P17" s="1311"/>
      <c r="AD17" s="1360"/>
      <c r="AE17" s="1360"/>
      <c r="AF17" s="1360"/>
      <c r="AG17" s="1361"/>
      <c r="AH17" s="2267"/>
      <c r="AI17" s="2268" t="s">
        <v>65</v>
      </c>
      <c r="AJ17" s="2267"/>
      <c r="AK17" s="2268" t="s">
        <v>65</v>
      </c>
      <c r="AS17" s="1155">
        <v>0</v>
      </c>
    </row>
    <row r="18" ht="14.25" hidden="1" customHeight="1">
      <c r="P18" s="1311"/>
      <c r="AD18" s="1360"/>
      <c r="AE18" s="1360"/>
      <c r="AF18" s="1360"/>
      <c r="AG18" s="328" t="str">
        <f>AH17&amp;"-"&amp;AJ17</f>
        <v>-</v>
      </c>
      <c r="AH18" s="2268"/>
      <c r="AI18" s="2268"/>
      <c r="AJ18" s="2268"/>
      <c r="AK18" s="2268"/>
      <c r="AS18" s="1155">
        <v>0</v>
      </c>
    </row>
    <row r="19" ht="14.25" hidden="1" customHeight="1">
      <c r="P19" s="1311"/>
      <c r="AK19" s="327"/>
      <c r="AS19" s="1155">
        <v>0</v>
      </c>
    </row>
    <row r="20" s="1366" customFormat="1" ht="22.5" hidden="1" customHeight="1">
      <c r="L20" s="1329"/>
      <c r="M20" s="1362"/>
      <c r="N20" s="1362"/>
      <c r="O20" s="1367" t="s">
        <v>419</v>
      </c>
      <c r="P20" s="1362"/>
      <c r="Q20" s="1371"/>
      <c r="R20" s="1371"/>
      <c r="S20" s="729"/>
      <c r="Z20" s="1367"/>
      <c r="AB20" s="1367"/>
      <c r="AC20" s="1366"/>
      <c r="AH20" s="1367"/>
      <c r="AJ20" s="1367"/>
      <c r="AK20" s="1366"/>
      <c r="AN20" s="511"/>
      <c r="AO20" s="511"/>
      <c r="AP20" s="511"/>
      <c r="AQ20" s="511"/>
      <c r="AR20" s="511"/>
      <c r="AS20" s="1160">
        <v>0</v>
      </c>
    </row>
    <row r="21" s="1366" customFormat="1" ht="14.25" hidden="1" customHeight="1">
      <c r="L21" s="1329"/>
      <c r="M21" s="1362"/>
      <c r="N21" s="1362"/>
      <c r="O21" s="1362"/>
      <c r="P21" s="1362"/>
      <c r="Q21" s="1371"/>
      <c r="R21" s="1371"/>
      <c r="S21" s="729"/>
      <c r="AC21" s="1366"/>
      <c r="AK21" s="1366"/>
      <c r="AN21" s="511"/>
      <c r="AO21" s="511"/>
      <c r="AP21" s="511"/>
      <c r="AQ21" s="511"/>
      <c r="AR21" s="511"/>
      <c r="AS21" s="1160">
        <v>0</v>
      </c>
    </row>
    <row r="22" s="1366" customFormat="1" ht="14.25" hidden="1" customHeight="1">
      <c r="L22" s="1329"/>
      <c r="M22" s="1362"/>
      <c r="N22" s="1362"/>
      <c r="O22" s="1364" t="s">
        <v>420</v>
      </c>
      <c r="P22" s="1362"/>
      <c r="Q22" s="1371"/>
      <c r="R22" s="1371"/>
      <c r="S22" s="729"/>
      <c r="T22" s="1160" t="s">
        <v>421</v>
      </c>
      <c r="AA22" s="186" t="s">
        <v>422</v>
      </c>
      <c r="AC22" s="186" t="s">
        <v>423</v>
      </c>
      <c r="AD22" s="1160" t="s">
        <v>421</v>
      </c>
      <c r="AI22" s="186" t="s">
        <v>424</v>
      </c>
      <c r="AK22" s="186" t="s">
        <v>423</v>
      </c>
      <c r="AN22" s="511"/>
      <c r="AO22" s="511"/>
      <c r="AP22" s="511"/>
      <c r="AQ22" s="511"/>
      <c r="AR22" s="511"/>
      <c r="AS22" s="1160">
        <v>0</v>
      </c>
    </row>
    <row r="23" ht="14.25" hidden="1" customHeight="1">
      <c r="O23" s="1364"/>
      <c r="P23" s="1311"/>
      <c r="AS23" s="1155">
        <v>0</v>
      </c>
    </row>
    <row r="24" ht="14.25" hidden="1" customHeight="1">
      <c r="O24" s="1364"/>
      <c r="P24" s="1311"/>
      <c r="AS24" s="1155">
        <v>0</v>
      </c>
    </row>
    <row r="25" ht="14.65" customHeight="1">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r="26" ht="14.65" customHeight="1">
      <c r="Q26" s="376"/>
      <c r="R26" s="376"/>
      <c r="S26" s="2248" t="str">
        <f>IF(TEMPLATE_GROUP="P",PT_P_FORM_HEAT_4_NAME_FORM,PT_R_FORM_HEAT_21_NAME_FORM)</f>
        <v xml:space="preserve">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r="27" ht="14.65" customHeight="1">
      <c r="Q27" s="376"/>
      <c r="R27" s="376"/>
      <c r="S27" s="2249" t="str">
        <f>IF(org=0,"Не определено",org)</f>
        <v xml:space="preserve">филиал ПАО "ОГК-2" - Рязанская ГРЭС</v>
      </c>
      <c r="T27" s="2249"/>
      <c r="U27" s="2249"/>
      <c r="V27" s="2249"/>
      <c r="W27" s="2249"/>
      <c r="X27" s="2249"/>
      <c r="Y27" s="2249"/>
      <c r="Z27" s="2249"/>
      <c r="AA27" s="2249"/>
      <c r="AB27" s="2249"/>
      <c r="AC27" s="2249"/>
      <c r="AD27" s="2249"/>
      <c r="AE27" s="2249"/>
      <c r="AF27" s="2249"/>
      <c r="AG27" s="2249"/>
      <c r="AH27" s="2249"/>
      <c r="AI27" s="2249"/>
      <c r="AJ27" s="2249"/>
      <c r="AK27" s="1243"/>
      <c r="AS27" s="1155">
        <v>14</v>
      </c>
    </row>
    <row r="28" ht="14.25" hidden="1" customHeight="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r="29" s="1853" customFormat="1" ht="25.5" hidden="1" customHeight="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r="30" s="1853" customFormat="1" ht="18.75" hidden="1" customHeight="1">
      <c r="A30" s="1368"/>
      <c r="B30" s="1368"/>
      <c r="C30" s="1368"/>
      <c r="D30" s="1368"/>
      <c r="E30" s="1368"/>
      <c r="F30" s="1368"/>
      <c r="G30" s="1368"/>
      <c r="H30" s="1368"/>
      <c r="I30" s="1368"/>
      <c r="J30" s="1368"/>
      <c r="K30" s="1368"/>
      <c r="L30" s="1369"/>
      <c r="M30" s="1368"/>
      <c r="N30" s="1368"/>
      <c r="O30" s="1368"/>
      <c r="S30" s="2250" t="s">
        <v>425</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r="31" s="1853" customFormat="1" ht="18.75" hidden="1" customHeight="1">
      <c r="A31" s="1368"/>
      <c r="B31" s="1368"/>
      <c r="C31" s="1368"/>
      <c r="D31" s="1368"/>
      <c r="E31" s="1368"/>
      <c r="F31" s="1368"/>
      <c r="G31" s="1368"/>
      <c r="H31" s="1368"/>
      <c r="I31" s="1368"/>
      <c r="J31" s="1368"/>
      <c r="K31" s="1368"/>
      <c r="L31" s="1369"/>
      <c r="M31" s="1368"/>
      <c r="N31" s="1368"/>
      <c r="O31" s="1368"/>
      <c r="S31" s="2250" t="s">
        <v>426</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r="32" s="1853" customFormat="1" ht="18.75" hidden="1" customHeight="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r="33" ht="14.25" hidden="1" customHeight="1">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r="34" s="1853" customFormat="1" ht="18.75" hidden="1" customHeight="1">
      <c r="A34" s="1368"/>
      <c r="B34" s="1368"/>
      <c r="C34" s="1368"/>
      <c r="D34" s="1368"/>
      <c r="E34" s="1368"/>
      <c r="F34" s="1368"/>
      <c r="G34" s="1368"/>
      <c r="H34" s="1368"/>
      <c r="I34" s="1368"/>
      <c r="J34" s="1368"/>
      <c r="K34" s="1368"/>
      <c r="L34" s="1369"/>
      <c r="M34" s="1368"/>
      <c r="N34" s="1368"/>
      <c r="O34" s="1368"/>
      <c r="S34" s="2250" t="s">
        <v>427</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r="35" s="1853" customFormat="1" ht="18.75" hidden="1" customHeight="1">
      <c r="A35" s="1368"/>
      <c r="B35" s="1368"/>
      <c r="C35" s="1368"/>
      <c r="D35" s="1368"/>
      <c r="E35" s="1368"/>
      <c r="F35" s="1368"/>
      <c r="G35" s="1368"/>
      <c r="H35" s="1368"/>
      <c r="I35" s="1368"/>
      <c r="J35" s="1368"/>
      <c r="K35" s="1368"/>
      <c r="L35" s="1369"/>
      <c r="M35" s="1368"/>
      <c r="N35" s="1368"/>
      <c r="O35" s="1368"/>
      <c r="S35" s="2250" t="s">
        <v>428</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r="36" s="1853" customFormat="1" ht="0" customHeight="1">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429</v>
      </c>
      <c r="AD36" s="326"/>
      <c r="AE36" s="326"/>
      <c r="AF36" s="326"/>
      <c r="AG36" s="326"/>
      <c r="AH36" s="326"/>
      <c r="AI36" s="326"/>
      <c r="AJ36" s="326"/>
      <c r="AK36" s="278" t="s">
        <v>429</v>
      </c>
      <c r="AN36" s="368"/>
      <c r="AO36" s="368"/>
      <c r="AP36" s="368"/>
      <c r="AQ36" s="368"/>
      <c r="AR36" s="368"/>
      <c r="AS36" s="418">
        <v>0</v>
      </c>
    </row>
    <row r="37" ht="14.65" customHeight="1">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r="38" ht="14.65" customHeight="1">
      <c r="Q38" s="376"/>
      <c r="R38" s="376"/>
      <c r="S38" s="2127" t="s">
        <v>302</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303</v>
      </c>
      <c r="AS38" s="1155">
        <v>14</v>
      </c>
    </row>
    <row r="39" ht="14.65" customHeight="1">
      <c r="Q39" s="376"/>
      <c r="R39" s="376"/>
      <c r="S39" s="2273" t="s">
        <v>87</v>
      </c>
      <c r="T39" s="2209" t="s">
        <v>430</v>
      </c>
      <c r="U39" s="301"/>
      <c r="V39" s="2274" t="s">
        <v>431</v>
      </c>
      <c r="W39" s="2275"/>
      <c r="X39" s="2275"/>
      <c r="Y39" s="2275"/>
      <c r="Z39" s="2275"/>
      <c r="AA39" s="2275"/>
      <c r="AB39" s="2276"/>
      <c r="AC39" s="2277" t="s">
        <v>432</v>
      </c>
      <c r="AD39" s="2274" t="s">
        <v>431</v>
      </c>
      <c r="AE39" s="2275"/>
      <c r="AF39" s="2275"/>
      <c r="AG39" s="2275"/>
      <c r="AH39" s="2275"/>
      <c r="AI39" s="2275"/>
      <c r="AJ39" s="2276"/>
      <c r="AK39" s="2277" t="s">
        <v>433</v>
      </c>
      <c r="AL39" s="2280" t="s">
        <v>434</v>
      </c>
      <c r="AM39" s="2127"/>
      <c r="AS39" s="1155">
        <v>14</v>
      </c>
    </row>
    <row r="40" ht="35.649999999999999" customHeight="1">
      <c r="Q40" s="376"/>
      <c r="R40" s="376"/>
      <c r="S40" s="2273"/>
      <c r="T40" s="2209"/>
      <c r="U40" s="1031"/>
      <c r="V40" s="2260" t="s">
        <v>435</v>
      </c>
      <c r="W40" s="2610" t="s">
        <v>436</v>
      </c>
      <c r="X40" s="2262" t="s">
        <v>437</v>
      </c>
      <c r="Y40" s="2263"/>
      <c r="Z40" s="2262" t="s">
        <v>438</v>
      </c>
      <c r="AA40" s="2269"/>
      <c r="AB40" s="2263"/>
      <c r="AC40" s="2278"/>
      <c r="AD40" s="2260" t="s">
        <v>435</v>
      </c>
      <c r="AE40" s="2283" t="s">
        <v>436</v>
      </c>
      <c r="AF40" s="2262" t="s">
        <v>437</v>
      </c>
      <c r="AG40" s="2263"/>
      <c r="AH40" s="2262" t="s">
        <v>438</v>
      </c>
      <c r="AI40" s="2269"/>
      <c r="AJ40" s="2263"/>
      <c r="AK40" s="2278"/>
      <c r="AL40" s="2281"/>
      <c r="AM40" s="2127"/>
      <c r="AS40" s="1155">
        <v>34</v>
      </c>
    </row>
    <row r="41" ht="35.649999999999999" customHeight="1">
      <c r="A41" s="1370"/>
      <c r="B41" s="1370" t="s">
        <v>139</v>
      </c>
      <c r="C41" s="1370" t="s">
        <v>140</v>
      </c>
      <c r="D41" s="1370" t="s">
        <v>141</v>
      </c>
      <c r="E41" s="1364" t="s">
        <v>439</v>
      </c>
      <c r="F41" s="1364" t="s">
        <v>440</v>
      </c>
      <c r="G41" s="1364" t="s">
        <v>441</v>
      </c>
      <c r="H41" s="1364" t="s">
        <v>442</v>
      </c>
      <c r="I41" s="1364" t="s">
        <v>443</v>
      </c>
      <c r="J41" s="1364" t="s">
        <v>444</v>
      </c>
      <c r="K41" s="1364" t="s">
        <v>445</v>
      </c>
      <c r="L41" s="1364" t="s">
        <v>420</v>
      </c>
      <c r="Q41" s="376"/>
      <c r="R41" s="376"/>
      <c r="S41" s="2273"/>
      <c r="T41" s="2209"/>
      <c r="U41" s="302"/>
      <c r="V41" s="2261"/>
      <c r="W41" s="2284"/>
      <c r="X41" s="1222" t="s">
        <v>446</v>
      </c>
      <c r="Y41" s="1222" t="s">
        <v>447</v>
      </c>
      <c r="Z41" s="1221" t="s">
        <v>448</v>
      </c>
      <c r="AA41" s="2270" t="s">
        <v>449</v>
      </c>
      <c r="AB41" s="2271"/>
      <c r="AC41" s="2279"/>
      <c r="AD41" s="2261"/>
      <c r="AE41" s="2284"/>
      <c r="AF41" s="1222" t="s">
        <v>446</v>
      </c>
      <c r="AG41" s="1222" t="s">
        <v>447</v>
      </c>
      <c r="AH41" s="1313" t="s">
        <v>448</v>
      </c>
      <c r="AI41" s="2270" t="s">
        <v>449</v>
      </c>
      <c r="AJ41" s="2271"/>
      <c r="AK41" s="2279"/>
      <c r="AL41" s="2282"/>
      <c r="AM41" s="2127"/>
      <c r="AS41" s="1155">
        <v>34</v>
      </c>
    </row>
    <row r="42" s="1641" customFormat="1" ht="11.25" hidden="1" customHeight="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r="43" ht="24" customHeight="1">
      <c r="A43" s="1363" t="s">
        <v>160</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127</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 xml:space="preserve">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 xml:space="preserve">Наименование тарифа</v>
      </c>
      <c r="AQ43" s="500"/>
      <c r="AR43" s="500"/>
      <c r="AS43" s="1155">
        <v>23</v>
      </c>
    </row>
    <row r="44" ht="24" customHeight="1">
      <c r="A44" s="1363" t="s">
        <v>160</v>
      </c>
      <c r="B44" s="1363" t="s">
        <v>161</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399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400</v>
      </c>
      <c r="AO44" s="500"/>
      <c r="AP44" s="500" t="str">
        <f>IF(T44="","",T44)</f>
        <v xml:space="preserve">Территория действия тарифа</v>
      </c>
      <c r="AQ44" s="500"/>
      <c r="AR44" s="500"/>
      <c r="AS44" s="1155">
        <v>23</v>
      </c>
    </row>
    <row r="45" ht="24" customHeight="1">
      <c r="A45" s="1363" t="s">
        <v>160</v>
      </c>
      <c r="B45" s="1363" t="s">
        <v>161</v>
      </c>
      <c r="C45" s="1363" t="s">
        <v>162</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401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402</v>
      </c>
      <c r="AO45" s="500"/>
      <c r="AP45" s="500" t="str">
        <f>IF(T45="","",T45)</f>
        <v xml:space="preserve">Наименование системы теплоснабжения</v>
      </c>
      <c r="AQ45" s="500"/>
      <c r="AR45" s="500"/>
      <c r="AS45" s="1155">
        <v>23</v>
      </c>
    </row>
    <row r="46" ht="24" customHeight="1">
      <c r="A46" s="1363" t="s">
        <v>160</v>
      </c>
      <c r="B46" s="1363" t="s">
        <v>161</v>
      </c>
      <c r="C46" s="1363" t="s">
        <v>162</v>
      </c>
      <c r="D46" s="1363" t="s">
        <v>163</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403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404</v>
      </c>
      <c r="AO46" s="500"/>
      <c r="AP46" s="500" t="str">
        <f>IF(T46="","",T46)</f>
        <v xml:space="preserve">Источник тепловой энергии</v>
      </c>
      <c r="AQ46" s="500"/>
      <c r="AR46" s="500"/>
      <c r="AS46" s="1155">
        <v>23</v>
      </c>
    </row>
    <row r="47" ht="49.5" customHeight="1">
      <c r="A47" s="1363" t="s">
        <v>160</v>
      </c>
      <c r="B47" s="1363" t="s">
        <v>161</v>
      </c>
      <c r="C47" s="1363" t="s">
        <v>162</v>
      </c>
      <c r="D47" s="1363" t="s">
        <v>163</v>
      </c>
      <c r="E47" s="2259"/>
      <c r="F47" s="2259"/>
      <c r="G47" s="2259"/>
      <c r="H47" s="2259"/>
      <c r="I47" s="2256" t="str">
        <f>S46&amp;".1"</f>
        <v>....1</v>
      </c>
      <c r="J47" s="1363"/>
      <c r="K47" s="1363"/>
      <c r="L47" s="1364" t="s">
        <v>405</v>
      </c>
      <c r="P47" s="2257">
        <v>1</v>
      </c>
      <c r="Q47" s="1220"/>
      <c r="R47" s="356"/>
      <c r="S47" s="1224" t="str">
        <f>$I47</f>
        <v>....1</v>
      </c>
      <c r="T47" s="285" t="s">
        <v>406</v>
      </c>
      <c r="U47" s="300"/>
      <c r="V47" s="2245"/>
      <c r="W47" s="2246"/>
      <c r="X47" s="2246"/>
      <c r="Y47" s="2246"/>
      <c r="Z47" s="2246"/>
      <c r="AA47" s="2246"/>
      <c r="AB47" s="2246"/>
      <c r="AC47" s="2247"/>
      <c r="AD47" s="2245"/>
      <c r="AE47" s="2246"/>
      <c r="AF47" s="2246"/>
      <c r="AG47" s="2246"/>
      <c r="AH47" s="2246"/>
      <c r="AI47" s="2246"/>
      <c r="AJ47" s="2246"/>
      <c r="AK47" s="2246"/>
      <c r="AL47" s="2247"/>
      <c r="AM47" s="1258" t="s">
        <v>407</v>
      </c>
      <c r="AO47" s="500"/>
      <c r="AP47" s="500" t="str">
        <f>IF(T47="","",T47)</f>
        <v xml:space="preserve">Схема подключения теплопотребляющей установки к коллектору источника тепловой энергии</v>
      </c>
      <c r="AQ47" s="500"/>
      <c r="AR47" s="500"/>
      <c r="AS47" s="1155">
        <v>47</v>
      </c>
    </row>
    <row r="48" ht="24" customHeight="1">
      <c r="A48" s="1363" t="s">
        <v>160</v>
      </c>
      <c r="B48" s="1363" t="s">
        <v>161</v>
      </c>
      <c r="C48" s="1363" t="s">
        <v>162</v>
      </c>
      <c r="D48" s="1363" t="s">
        <v>163</v>
      </c>
      <c r="E48" s="2259"/>
      <c r="F48" s="2259"/>
      <c r="G48" s="2259"/>
      <c r="H48" s="2259"/>
      <c r="I48" s="2286"/>
      <c r="J48" s="2256" t="str">
        <f>I47&amp;".1"</f>
        <v>....1.1</v>
      </c>
      <c r="K48" s="1363"/>
      <c r="L48" s="1364" t="s">
        <v>408</v>
      </c>
      <c r="P48" s="2257"/>
      <c r="Q48" s="2257">
        <v>1</v>
      </c>
      <c r="R48" s="357"/>
      <c r="S48" s="1224" t="str">
        <f>$J48</f>
        <v>....1.1</v>
      </c>
      <c r="T48" s="286" t="s">
        <v>409</v>
      </c>
      <c r="U48" s="300"/>
      <c r="V48" s="2245"/>
      <c r="W48" s="2246"/>
      <c r="X48" s="2246"/>
      <c r="Y48" s="2246"/>
      <c r="Z48" s="2246"/>
      <c r="AA48" s="2246"/>
      <c r="AB48" s="2246"/>
      <c r="AC48" s="2247"/>
      <c r="AD48" s="2245"/>
      <c r="AE48" s="2246"/>
      <c r="AF48" s="2246"/>
      <c r="AG48" s="2246"/>
      <c r="AH48" s="2246"/>
      <c r="AI48" s="2246"/>
      <c r="AJ48" s="2246"/>
      <c r="AK48" s="2246"/>
      <c r="AL48" s="2247"/>
      <c r="AM48" s="1258" t="s">
        <v>410</v>
      </c>
      <c r="AO48" s="500"/>
      <c r="AP48" s="500" t="str">
        <f>IF(T48="","",T48)</f>
        <v xml:space="preserve">Группа потребителей</v>
      </c>
      <c r="AQ48" s="500"/>
      <c r="AR48" s="500"/>
      <c r="AS48" s="1155">
        <v>23</v>
      </c>
    </row>
    <row r="49" ht="24" customHeight="1">
      <c r="A49" s="1363" t="s">
        <v>160</v>
      </c>
      <c r="B49" s="1363" t="s">
        <v>161</v>
      </c>
      <c r="C49" s="1363" t="s">
        <v>162</v>
      </c>
      <c r="D49" s="1363" t="s">
        <v>163</v>
      </c>
      <c r="E49" s="2259"/>
      <c r="F49" s="2259"/>
      <c r="G49" s="2259"/>
      <c r="H49" s="2259"/>
      <c r="I49" s="2286"/>
      <c r="J49" s="2286"/>
      <c r="K49" s="2256" t="str">
        <f>J48&amp;".1"</f>
        <v>....1.1.1</v>
      </c>
      <c r="L49" s="1364" t="s">
        <v>411</v>
      </c>
      <c r="P49" s="2257"/>
      <c r="Q49" s="2257"/>
      <c r="R49" s="357">
        <v>1</v>
      </c>
      <c r="S49" s="1224"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412</v>
      </c>
      <c r="AN49" s="511">
        <f>STRCHECKDATE(V50:AL50)</f>
      </c>
      <c r="AO49" s="500"/>
      <c r="AP49" s="500" t="str">
        <f>IF(T49="","",T49)</f>
        <v/>
      </c>
      <c r="AQ49" s="500"/>
      <c r="AR49" s="500"/>
      <c r="AS49" s="1155">
        <v>23</v>
      </c>
    </row>
    <row r="50" ht="1.05" customHeight="1">
      <c r="A50" s="1363" t="s">
        <v>160</v>
      </c>
      <c r="B50" s="1363" t="s">
        <v>161</v>
      </c>
      <c r="C50" s="1363" t="s">
        <v>162</v>
      </c>
      <c r="D50" s="1363" t="s">
        <v>163</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r="51" ht="11.5" customHeight="1">
      <c r="A51" s="1363" t="s">
        <v>160</v>
      </c>
      <c r="B51" s="1363" t="s">
        <v>161</v>
      </c>
      <c r="C51" s="1363" t="s">
        <v>162</v>
      </c>
      <c r="D51" s="1363" t="s">
        <v>163</v>
      </c>
      <c r="E51" s="2259"/>
      <c r="F51" s="2259"/>
      <c r="G51" s="2259"/>
      <c r="H51" s="2259"/>
      <c r="I51" s="2286"/>
      <c r="J51" s="2256"/>
      <c r="K51" s="1363"/>
      <c r="L51" s="1364"/>
      <c r="P51" s="2257"/>
      <c r="Q51" s="2257"/>
      <c r="R51" s="356"/>
      <c r="S51" s="1278"/>
      <c r="T51" s="288" t="s">
        <v>413</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 xml:space="preserve">Добавить вид теплоносителя (параметры теплоносителя)</v>
      </c>
      <c r="AQ51" s="500"/>
      <c r="AR51" s="500"/>
      <c r="AS51" s="1155">
        <v>11</v>
      </c>
    </row>
    <row r="52" ht="11.5" customHeight="1">
      <c r="A52" s="1363" t="s">
        <v>160</v>
      </c>
      <c r="B52" s="1363" t="s">
        <v>161</v>
      </c>
      <c r="C52" s="1363" t="s">
        <v>162</v>
      </c>
      <c r="D52" s="1363" t="s">
        <v>163</v>
      </c>
      <c r="E52" s="2259"/>
      <c r="F52" s="2259"/>
      <c r="G52" s="2259"/>
      <c r="H52" s="2259"/>
      <c r="I52" s="2256"/>
      <c r="J52" s="1363"/>
      <c r="K52" s="1363"/>
      <c r="L52" s="1364"/>
      <c r="P52" s="2257"/>
      <c r="Q52" s="1220"/>
      <c r="R52" s="356"/>
      <c r="S52" s="1278"/>
      <c r="T52" s="287" t="s">
        <v>414</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 xml:space="preserve">Добавить группу потребителей</v>
      </c>
      <c r="AQ52" s="500"/>
      <c r="AR52" s="500"/>
      <c r="AS52" s="1155">
        <v>11</v>
      </c>
    </row>
    <row r="53" ht="14.65" customHeight="1">
      <c r="A53" s="1363" t="s">
        <v>160</v>
      </c>
      <c r="B53" s="1363" t="s">
        <v>161</v>
      </c>
      <c r="C53" s="1363" t="s">
        <v>162</v>
      </c>
      <c r="D53" s="1363" t="s">
        <v>163</v>
      </c>
      <c r="E53" s="2259"/>
      <c r="F53" s="2259"/>
      <c r="G53" s="2259"/>
      <c r="H53" s="2258"/>
      <c r="I53" s="1363"/>
      <c r="J53" s="1363"/>
      <c r="K53" s="1363"/>
      <c r="L53" s="1364"/>
      <c r="M53" s="1365"/>
      <c r="N53" s="1365"/>
      <c r="O53" s="537"/>
      <c r="P53" s="360"/>
      <c r="Q53" s="375"/>
      <c r="R53" s="355"/>
      <c r="S53" s="1278"/>
      <c r="T53" s="365" t="s">
        <v>415</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 xml:space="preserve">Добавить схему подключения</v>
      </c>
      <c r="AQ53" s="500"/>
      <c r="AR53" s="500"/>
      <c r="AS53" s="1155">
        <v>14</v>
      </c>
    </row>
    <row r="54" s="1642" customFormat="1" ht="1.05" customHeight="1">
      <c r="A54" s="1343" t="s">
        <v>160</v>
      </c>
      <c r="B54" s="1343" t="s">
        <v>161</v>
      </c>
      <c r="C54" s="1343" t="s">
        <v>162</v>
      </c>
      <c r="D54" s="1314"/>
      <c r="E54" s="2259"/>
      <c r="F54" s="2259"/>
      <c r="G54" s="2258"/>
      <c r="H54" s="1314"/>
      <c r="I54" s="1314"/>
      <c r="J54" s="1314"/>
      <c r="K54" s="1314"/>
      <c r="L54" s="1339"/>
      <c r="M54" s="1315"/>
      <c r="N54" s="1315"/>
      <c r="P54" s="1316"/>
      <c r="Q54" s="1317"/>
      <c r="R54" s="1316"/>
      <c r="S54" s="1322"/>
      <c r="T54" s="1325" t="s">
        <v>416</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 xml:space="preserve">Добавить источник для дифференциации</v>
      </c>
      <c r="AQ54" s="789"/>
      <c r="AR54" s="789"/>
      <c r="AS54" s="518">
        <v>1</v>
      </c>
    </row>
    <row r="55" s="1642" customFormat="1" ht="1.05" customHeight="1">
      <c r="A55" s="1343" t="s">
        <v>160</v>
      </c>
      <c r="B55" s="1343" t="s">
        <v>161</v>
      </c>
      <c r="C55" s="1314"/>
      <c r="D55" s="1314"/>
      <c r="E55" s="2259"/>
      <c r="F55" s="2258"/>
      <c r="G55" s="1314"/>
      <c r="H55" s="1314"/>
      <c r="I55" s="1314"/>
      <c r="J55" s="1314"/>
      <c r="K55" s="1314"/>
      <c r="L55" s="1339"/>
      <c r="M55" s="1321"/>
      <c r="N55" s="1321"/>
      <c r="P55" s="1316"/>
      <c r="Q55" s="1317"/>
      <c r="R55" s="1316"/>
      <c r="S55" s="1322"/>
      <c r="T55" s="1325" t="s">
        <v>417</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 xml:space="preserve">Добавить централизованную систему для дифференциации</v>
      </c>
      <c r="AQ55" s="789"/>
      <c r="AR55" s="789"/>
      <c r="AS55" s="518">
        <v>1</v>
      </c>
    </row>
    <row r="56" s="1642" customFormat="1" ht="1.05" customHeight="1">
      <c r="A56" s="1343" t="s">
        <v>160</v>
      </c>
      <c r="B56" s="1343"/>
      <c r="C56" s="1343"/>
      <c r="D56" s="1343"/>
      <c r="E56" s="2258"/>
      <c r="F56" s="1343"/>
      <c r="G56" s="1343"/>
      <c r="H56" s="1343"/>
      <c r="I56" s="1343"/>
      <c r="J56" s="1343"/>
      <c r="K56" s="1343"/>
      <c r="L56" s="1346"/>
      <c r="M56" s="1321"/>
      <c r="N56" s="1321"/>
      <c r="O56" s="518"/>
      <c r="P56" s="380"/>
      <c r="Q56" s="1344"/>
      <c r="R56" s="380"/>
      <c r="S56" s="1322"/>
      <c r="T56" s="1325" t="s">
        <v>418</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 xml:space="preserve">Добавить территорию для дифференциации</v>
      </c>
      <c r="AQ56" s="500"/>
      <c r="AR56" s="500"/>
      <c r="AS56" s="511">
        <v>1</v>
      </c>
    </row>
    <row r="57" s="1642" customFormat="1" ht="1.05" customHeight="1">
      <c r="A57" s="1314"/>
      <c r="B57" s="1314"/>
      <c r="C57" s="1314"/>
      <c r="D57" s="1314"/>
      <c r="E57" s="1343"/>
      <c r="F57" s="1314"/>
      <c r="G57" s="1314"/>
      <c r="H57" s="1314"/>
      <c r="I57" s="1314"/>
      <c r="J57" s="1314"/>
      <c r="K57" s="1314"/>
      <c r="L57" s="1339"/>
      <c r="M57" s="1321"/>
      <c r="N57" s="1321"/>
      <c r="P57" s="1316"/>
      <c r="Q57" s="1317"/>
      <c r="R57" s="1316"/>
      <c r="S57" s="1322"/>
      <c r="T57" s="1325" t="s">
        <v>450</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 xml:space="preserve">Добавить наименование тарифа</v>
      </c>
      <c r="AQ57" s="789"/>
      <c r="AR57" s="789"/>
      <c r="AS57" s="518">
        <v>1</v>
      </c>
    </row>
    <row r="58" ht="11.5" customHeight="1">
      <c r="M58" s="1160"/>
      <c r="N58" s="1160"/>
      <c r="O58" s="537"/>
      <c r="P58" s="1155"/>
      <c r="Q58" s="1155"/>
      <c r="R58" s="1155"/>
      <c r="S58" s="1155"/>
      <c r="AN58" s="1155"/>
      <c r="AO58" s="1155"/>
      <c r="AP58" s="1155"/>
      <c r="AQ58" s="1155"/>
      <c r="AR58" s="1155"/>
      <c r="AS58" s="1155">
        <v>11</v>
      </c>
    </row>
    <row r="59" ht="28.5" customHeight="1">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r="60" ht="67.200000000000003" customHeight="1">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r="61" ht="14.65" customHeight="1">
      <c r="O61" s="537"/>
      <c r="AS61" s="1155">
        <v>14</v>
      </c>
    </row>
    <row r="62" ht="18.75" customHeight="1">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r="63" ht="18.75" customHeight="1">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r="64" ht="29.25" customHeight="1">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r="65" ht="22.5" hidden="1" customHeight="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autoFilter="0" deleteColumns="0" deleteRows="0" formatColumns="0" formatRows="0" insertColumns="1" insertRows="0" sort="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4">
    <dataValidation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allowBlank="1" prompt="Для выбора выполните двойной щелчок левой клавиши мыши по соответствующей ячейке." showErrorMessage="1" showInputMessage="1"/>
    <dataValidation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llowBlank="1" prompt="Выберите дату из календаря (иконка справа от указанной ячейки), либо введите дату непосредственно в ячейку в формате - 'ДД.ММ.ГГГГ'." showErrorMessage="1" showInputMessage="1"/>
    <dataValidation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allowBlank="1" promptTitle="checkPeriodRange"/>
    <dataValidation sqref="S131123:AM131129 S196659:AM196665 S262195:AM262201 S327731:AM327737 S393267:AM393273 S458803:AM458809 S524339:AM524345 S589875:AM589881 S655411:AM655417 S720947:AM720953 S786483:AM786489 S852019:AM852025 S917555:AM917561 S983091:AM983097 S65587:AM65593" allowBlank="1"/>
  </dataValidations>
  <pageMargins left="0.69999999999999996" right="0.69999999999999996" top="0.75" bottom="0.75" header="0.29999999999999999" footer="0.29999999999999999"/>
  <pageSetup paperSize="9"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x14:dataValidation xr:uid="{00050077-00F3-4703-A152-001500C000E6}" type="list" allowBlank="1" error="Выберите значение из списка" errorTitle="Ошибка" showErrorMessage="1" showInputMessage="1">
          <x14:formula1>
            <xm:f>kind_of_heat_transfer</xm:f>
          </x14:formula1>
          <xm:sqref>T65585 T131121 T196657 T262193 T327729 T393265 T458801 T524337 T589873 T655409 T720945 T786481 T852017 T917553 T983089</xm:sqref>
        </x14:dataValidation>
        <x14:dataValidation xr:uid="{006800F3-00D1-4475-96FF-004A008B004E}" type="textLength" allowBlank="1" error="Допускается ввод не более 900 символов!" errorTitle="Ошибка" operator="lessThanOrEqual" showErrorMessage="1" showInputMessage="1">
          <x14:formula1>
            <xm:f>900</xm:f>
          </x14:formula1>
          <xm:sqref>AM65579:AM65586 AM131115:AM131122 AM196651:AM196658 AM262187:AM262194 AM327723:AM327730 AM393259:AM393266 AM458795:AM458802 AM524331:AM524338 AM589867:AM589874 AM655403:AM655410 AM720939:AM720946 AM786475:AM786482 AM852011:AM852018 AM917547:AM917554 AM983083:AM983090</xm:sqref>
        </x14:dataValidation>
        <x14:dataValidation xr:uid="{00280070-0094-4FF0-A1C0-006300A5007B}" type="list" allowBlank="1" error="Выберите значение из списка" errorTitle="Ошибка" showErrorMessage="1" showInputMessage="1">
          <x14:formula1>
            <xm:f>kind_of_scheme_in</xm:f>
          </x14:formula1>
          <xm: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xm:sqref>
        </x14:dataValidation>
        <x14:dataValidation xr:uid="{00960021-007B-4DB0-B9B2-00790029008F}" type="list" allowBlank="1" error="Выберите значение из списка" errorTitle="Ошибка" prompt="Выберите значение из списка" showInputMessage="1">
          <x14:formula1>
            <xm:f>kind_of_cons</xm:f>
          </x14:formula1>
          <xm:sqref>V983088:AL983088 V65584:AL65584 V131120:AL131120 V196656:AL196656 V262192:AL262192 V327728:AL327728 V393264:AL393264 V458800:AL458800 V524336:AL524336 V589872:AL589872 V655408:AL655408 V720944:AL720944 V786480:AL786480 V852016:AL852016 V917552:AL917552</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sheetPr>
  <sheetViews>
    <sheetView showGridLines="0" topLeftCell="A1" zoomScale="90" workbookViewId="0">
      <selection activeCell="A1" sqref="A1"/>
    </sheetView>
  </sheetViews>
  <sheetFormatPr defaultColWidth="10.57421875" defaultRowHeight="14.25" customHeight="1"/>
  <cols>
    <col hidden="1" min="1" max="1" style="1366" width="10.57421875"/>
    <col customWidth="1" hidden="1" min="2" max="2" style="1366" width="11.00390625"/>
    <col hidden="1" min="3" max="3" style="1366" width="10.57421875"/>
    <col customWidth="1" hidden="1" min="4" max="4" style="1366" width="11.8515625"/>
    <col customWidth="1" hidden="1" min="5" max="5" style="1366" width="10.00390625"/>
    <col customWidth="1" hidden="1" min="6" max="6" style="1366" width="8.7109375"/>
    <col customWidth="1" hidden="1" min="7" max="7" style="1366" width="7.57421875"/>
    <col customWidth="1" hidden="1" min="8" max="8" style="1366" width="11.421875"/>
    <col customWidth="1" hidden="1" min="9" max="9" style="1366" width="12.00390625"/>
    <col customWidth="1" hidden="1" min="10" max="10" style="1366" width="9.8515625"/>
    <col customWidth="1" hidden="1" min="11" max="11" style="1366" width="11.421875"/>
    <col customWidth="1" hidden="1" min="12" max="12" style="2607" width="19.140625"/>
    <col customWidth="1" hidden="1" min="13" max="14" style="1776" width="12.28125"/>
    <col customWidth="1" hidden="1" min="15" max="15" style="1776" width="23.421875"/>
    <col customWidth="1" min="16" max="16" style="2397" width="3.00390625"/>
    <col customWidth="1" min="17" max="18" style="344" width="3.00390625"/>
    <col customWidth="1" min="19" max="19" style="2407" width="12.00390625"/>
    <col customWidth="1" min="20" max="20" style="1635" width="31.00390625"/>
    <col customWidth="1" min="21" max="21" style="1635" width="0.140625"/>
    <col customWidth="1" hidden="1" min="22" max="22" style="1635" width="24.7109375"/>
    <col customWidth="1" hidden="1" min="23" max="23" style="1635" width="0.140625"/>
    <col customWidth="1" hidden="1" min="24" max="25" style="1635" width="24.7109375"/>
    <col customWidth="1" hidden="1" min="26" max="26" style="1635" width="11.7109375"/>
    <col customWidth="1" hidden="1" min="27" max="27" style="1635" width="3.7109375"/>
    <col customWidth="1" hidden="1" min="28" max="28" style="1635" width="11.7109375"/>
    <col customWidth="1" hidden="1" min="29" max="29" style="1635" width="8.57421875"/>
    <col customWidth="1" min="30" max="30" style="1635" width="24.7109375"/>
    <col customWidth="1" min="31" max="31" style="1635" width="0.140625"/>
    <col customWidth="1" min="32" max="33" style="1635" width="24.00390625"/>
    <col customWidth="1" min="34" max="34" style="1635" width="11.00390625"/>
    <col customWidth="1" min="35" max="35" style="1635" width="3.7109375"/>
    <col customWidth="1" min="36" max="36" style="1635" width="11.00390625"/>
    <col customWidth="1" hidden="1" min="37" max="37" style="1635" width="8.57421875"/>
    <col customWidth="1" min="38" max="38" style="1635" width="4.00390625"/>
    <col customWidth="1" min="39" max="39" style="1635" width="115.00390625"/>
    <col customWidth="1" min="40" max="44" style="1642" width="10.00390625"/>
    <col hidden="1" min="45" max="45" style="1635" width="10.57421875"/>
  </cols>
  <sheetData>
    <row r="1" ht="22.5" hidden="1" customHeight="1">
      <c r="Y1" s="327"/>
      <c r="Z1" s="327"/>
      <c r="AG1" s="327"/>
      <c r="AH1" s="327"/>
      <c r="AS1" s="1155" t="s">
        <v>14</v>
      </c>
    </row>
    <row r="2" ht="21" hidden="1" customHeight="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127</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398</v>
      </c>
      <c r="AO2" s="500"/>
      <c r="AP2" s="500" t="str">
        <f>IF(T2="","",T2)</f>
        <v xml:space="preserve">Наименование тарифа</v>
      </c>
      <c r="AQ2" s="500"/>
      <c r="AR2" s="500"/>
      <c r="AS2" s="1155">
        <v>0</v>
      </c>
    </row>
    <row r="3" ht="21" hidden="1" customHeight="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400</v>
      </c>
      <c r="AO3" s="500"/>
      <c r="AP3" s="500" t="str">
        <f>IF(T3="","",T3)</f>
        <v xml:space="preserve">Территория действия тарифа</v>
      </c>
      <c r="AQ3" s="500"/>
      <c r="AR3" s="500"/>
      <c r="AS3" s="1155">
        <v>0</v>
      </c>
    </row>
    <row r="4" ht="23.25" hidden="1" customHeight="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401</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402</v>
      </c>
      <c r="AO4" s="500"/>
      <c r="AP4" s="500" t="str">
        <f>IF(T4="","",T4)</f>
        <v xml:space="preserve">Наименование системы теплоснабжения</v>
      </c>
      <c r="AQ4" s="500"/>
      <c r="AR4" s="500"/>
      <c r="AS4" s="1155">
        <v>0</v>
      </c>
    </row>
    <row r="5" ht="21" hidden="1" customHeight="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403</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404</v>
      </c>
      <c r="AO5" s="500"/>
      <c r="AP5" s="500" t="str">
        <f>IF(T5="","",T5)</f>
        <v xml:space="preserve">Источник тепловой энергии</v>
      </c>
      <c r="AQ5" s="500"/>
      <c r="AR5" s="500"/>
      <c r="AS5" s="1155">
        <v>0</v>
      </c>
    </row>
    <row r="6" ht="47.25" hidden="1" customHeight="1">
      <c r="A6" s="1363"/>
      <c r="B6" s="1363"/>
      <c r="C6" s="1363"/>
      <c r="D6" s="1363"/>
      <c r="E6" s="2259"/>
      <c r="F6" s="2259"/>
      <c r="G6" s="2259"/>
      <c r="H6" s="2259"/>
      <c r="I6" s="2256">
        <f>S5&amp;".1"</f>
      </c>
      <c r="J6" s="1363"/>
      <c r="K6" s="1363"/>
      <c r="L6" s="1364" t="s">
        <v>405</v>
      </c>
      <c r="M6" s="537"/>
      <c r="P6" s="2257">
        <v>1</v>
      </c>
      <c r="Q6" s="1331"/>
      <c r="R6" s="356"/>
      <c r="S6" s="1336">
        <f>$I6</f>
      </c>
      <c r="T6" s="285" t="s">
        <v>406</v>
      </c>
      <c r="U6" s="300"/>
      <c r="V6" s="2245"/>
      <c r="W6" s="2246"/>
      <c r="X6" s="2246"/>
      <c r="Y6" s="2246"/>
      <c r="Z6" s="2246"/>
      <c r="AA6" s="2246"/>
      <c r="AB6" s="2246"/>
      <c r="AC6" s="2247"/>
      <c r="AD6" s="2245"/>
      <c r="AE6" s="2246"/>
      <c r="AF6" s="2246"/>
      <c r="AG6" s="2246"/>
      <c r="AH6" s="2246"/>
      <c r="AI6" s="2246"/>
      <c r="AJ6" s="2246"/>
      <c r="AK6" s="2246"/>
      <c r="AL6" s="2247"/>
      <c r="AM6" s="1258" t="s">
        <v>407</v>
      </c>
      <c r="AO6" s="500"/>
      <c r="AP6" s="500" t="str">
        <f>IF(T6="","",T6)</f>
        <v xml:space="preserve">Схема подключения теплопотребляющей установки к коллектору источника тепловой энергии</v>
      </c>
      <c r="AQ6" s="500"/>
      <c r="AR6" s="500"/>
      <c r="AS6" s="1155">
        <v>0</v>
      </c>
    </row>
    <row r="7" ht="21" hidden="1" customHeight="1">
      <c r="A7" s="1363"/>
      <c r="B7" s="1363"/>
      <c r="C7" s="1363"/>
      <c r="D7" s="1363"/>
      <c r="E7" s="2259"/>
      <c r="F7" s="2259"/>
      <c r="G7" s="2259"/>
      <c r="H7" s="2259"/>
      <c r="I7" s="2286"/>
      <c r="J7" s="2256">
        <f>I6&amp;".1"</f>
      </c>
      <c r="K7" s="1363"/>
      <c r="L7" s="1364" t="s">
        <v>408</v>
      </c>
      <c r="M7" s="537"/>
      <c r="N7" s="1366"/>
      <c r="P7" s="2257"/>
      <c r="Q7" s="2257">
        <v>1</v>
      </c>
      <c r="R7" s="357"/>
      <c r="S7" s="1336">
        <f>$J7</f>
      </c>
      <c r="T7" s="286" t="s">
        <v>409</v>
      </c>
      <c r="U7" s="300"/>
      <c r="V7" s="2245"/>
      <c r="W7" s="2246"/>
      <c r="X7" s="2246"/>
      <c r="Y7" s="2246"/>
      <c r="Z7" s="2246"/>
      <c r="AA7" s="2246"/>
      <c r="AB7" s="2246"/>
      <c r="AC7" s="2247"/>
      <c r="AD7" s="2245"/>
      <c r="AE7" s="2246"/>
      <c r="AF7" s="2246"/>
      <c r="AG7" s="2246"/>
      <c r="AH7" s="2246"/>
      <c r="AI7" s="2246"/>
      <c r="AJ7" s="2246"/>
      <c r="AK7" s="2246"/>
      <c r="AL7" s="2247"/>
      <c r="AM7" s="1258" t="s">
        <v>410</v>
      </c>
      <c r="AO7" s="500"/>
      <c r="AP7" s="500" t="str">
        <f>IF(T7="","",T7)</f>
        <v xml:space="preserve">Группа потребителей</v>
      </c>
      <c r="AQ7" s="500"/>
      <c r="AR7" s="500"/>
      <c r="AS7" s="1155">
        <v>0</v>
      </c>
    </row>
    <row r="8" ht="21" hidden="1" customHeight="1">
      <c r="A8" s="1363"/>
      <c r="B8" s="1363"/>
      <c r="C8" s="1363"/>
      <c r="D8" s="1363"/>
      <c r="E8" s="2259"/>
      <c r="F8" s="2259"/>
      <c r="G8" s="2259"/>
      <c r="H8" s="2259"/>
      <c r="I8" s="2286"/>
      <c r="J8" s="2286"/>
      <c r="K8" s="2256">
        <f>J7&amp;".1"</f>
      </c>
      <c r="L8" s="1364" t="s">
        <v>411</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412</v>
      </c>
      <c r="AN8" s="511">
        <f>STRCHECKDATE(V9:AL9)</f>
      </c>
      <c r="AO8" s="500"/>
      <c r="AP8" s="500" t="str">
        <f>IF(T8="","",T8)</f>
        <v/>
      </c>
      <c r="AQ8" s="500"/>
      <c r="AR8" s="500"/>
      <c r="AS8" s="1155">
        <v>0</v>
      </c>
    </row>
    <row r="9" ht="0.75" hidden="1" customHeight="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r="10" ht="15" hidden="1" customHeight="1">
      <c r="A10" s="1363"/>
      <c r="B10" s="1363"/>
      <c r="C10" s="1363"/>
      <c r="D10" s="1363"/>
      <c r="E10" s="2259"/>
      <c r="F10" s="2259"/>
      <c r="G10" s="2259"/>
      <c r="H10" s="2259"/>
      <c r="I10" s="2286"/>
      <c r="J10" s="2256"/>
      <c r="K10" s="1363"/>
      <c r="L10" s="1364"/>
      <c r="M10" s="537"/>
      <c r="N10" s="1366"/>
      <c r="P10" s="2257"/>
      <c r="Q10" s="2257"/>
      <c r="R10" s="356"/>
      <c r="S10" s="1278"/>
      <c r="T10" s="288" t="s">
        <v>413</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 xml:space="preserve">Добавить вид теплоносителя (параметры теплоносителя)</v>
      </c>
      <c r="AQ10" s="500"/>
      <c r="AR10" s="500"/>
      <c r="AS10" s="1155">
        <v>0</v>
      </c>
    </row>
    <row r="11" ht="15" hidden="1" customHeight="1">
      <c r="A11" s="1363"/>
      <c r="B11" s="1363"/>
      <c r="C11" s="1363"/>
      <c r="D11" s="1363"/>
      <c r="E11" s="2259"/>
      <c r="F11" s="2259"/>
      <c r="G11" s="2259"/>
      <c r="H11" s="2259"/>
      <c r="I11" s="2256"/>
      <c r="J11" s="1363"/>
      <c r="K11" s="1363"/>
      <c r="L11" s="1364"/>
      <c r="M11" s="537"/>
      <c r="P11" s="2257"/>
      <c r="Q11" s="1331"/>
      <c r="R11" s="356"/>
      <c r="S11" s="1278"/>
      <c r="T11" s="287" t="s">
        <v>414</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 xml:space="preserve">Добавить группу потребителей</v>
      </c>
      <c r="AQ11" s="500"/>
      <c r="AR11" s="500"/>
      <c r="AS11" s="1155">
        <v>0</v>
      </c>
    </row>
    <row r="12" ht="14.25" hidden="1" customHeight="1">
      <c r="A12" s="1363"/>
      <c r="B12" s="1363"/>
      <c r="C12" s="1363"/>
      <c r="D12" s="1363"/>
      <c r="E12" s="2259"/>
      <c r="F12" s="2259"/>
      <c r="G12" s="2259"/>
      <c r="H12" s="2258"/>
      <c r="I12" s="1363"/>
      <c r="J12" s="1363"/>
      <c r="K12" s="1363"/>
      <c r="L12" s="1364"/>
      <c r="M12" s="1365"/>
      <c r="N12" s="1365"/>
      <c r="O12" s="537"/>
      <c r="P12" s="360"/>
      <c r="Q12" s="375"/>
      <c r="R12" s="355"/>
      <c r="S12" s="1278"/>
      <c r="T12" s="365" t="s">
        <v>415</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 xml:space="preserve">Добавить схему подключения</v>
      </c>
      <c r="AQ12" s="500"/>
      <c r="AR12" s="500"/>
      <c r="AS12" s="1155">
        <v>0</v>
      </c>
    </row>
    <row r="13" s="1642" customFormat="1" ht="0.75" hidden="1" customHeight="1">
      <c r="A13" s="1314"/>
      <c r="B13" s="1314"/>
      <c r="C13" s="1314"/>
      <c r="D13" s="1314"/>
      <c r="E13" s="2259"/>
      <c r="F13" s="2259"/>
      <c r="G13" s="2258"/>
      <c r="H13" s="1314"/>
      <c r="I13" s="1314"/>
      <c r="J13" s="1314"/>
      <c r="K13" s="1314"/>
      <c r="L13" s="1339"/>
      <c r="M13" s="1315"/>
      <c r="N13" s="1315"/>
      <c r="P13" s="1316"/>
      <c r="Q13" s="1317"/>
      <c r="R13" s="1316"/>
      <c r="S13" s="1318"/>
      <c r="T13" s="1319" t="s">
        <v>416</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 xml:space="preserve">Добавить источник для дифференциации</v>
      </c>
      <c r="AQ13" s="789"/>
      <c r="AR13" s="789"/>
      <c r="AS13" s="518">
        <v>0</v>
      </c>
    </row>
    <row r="14" s="1642" customFormat="1" ht="0.75" hidden="1" customHeight="1">
      <c r="A14" s="1314"/>
      <c r="B14" s="1314"/>
      <c r="C14" s="1314"/>
      <c r="D14" s="1314"/>
      <c r="E14" s="2259"/>
      <c r="F14" s="2258"/>
      <c r="G14" s="1314"/>
      <c r="H14" s="1314"/>
      <c r="I14" s="1314"/>
      <c r="J14" s="1314"/>
      <c r="K14" s="1314"/>
      <c r="L14" s="1339"/>
      <c r="M14" s="1321"/>
      <c r="N14" s="1321"/>
      <c r="P14" s="1316"/>
      <c r="Q14" s="1317"/>
      <c r="R14" s="1316"/>
      <c r="S14" s="1322"/>
      <c r="T14" s="1323" t="s">
        <v>417</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 xml:space="preserve">Добавить централизованную систему для дифференциации</v>
      </c>
      <c r="AQ14" s="789"/>
      <c r="AR14" s="789"/>
      <c r="AS14" s="518">
        <v>0</v>
      </c>
    </row>
    <row r="15" s="1642" customFormat="1" ht="0.75" hidden="1" customHeight="1">
      <c r="A15" s="1314"/>
      <c r="B15" s="1314"/>
      <c r="C15" s="1314"/>
      <c r="D15" s="1314"/>
      <c r="E15" s="2258"/>
      <c r="F15" s="1314"/>
      <c r="G15" s="1314"/>
      <c r="H15" s="1314"/>
      <c r="I15" s="1314"/>
      <c r="J15" s="1314"/>
      <c r="K15" s="1314"/>
      <c r="L15" s="1339"/>
      <c r="M15" s="1321"/>
      <c r="N15" s="1321"/>
      <c r="P15" s="1316"/>
      <c r="Q15" s="1317"/>
      <c r="R15" s="1316"/>
      <c r="S15" s="1322"/>
      <c r="T15" s="1325" t="s">
        <v>418</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 xml:space="preserve">Добавить территорию для дифференциации</v>
      </c>
      <c r="AQ15" s="789"/>
      <c r="AR15" s="789"/>
      <c r="AS15" s="518">
        <v>0</v>
      </c>
    </row>
    <row r="16" ht="14.25" hidden="1" customHeight="1">
      <c r="AC16" s="327"/>
      <c r="AK16" s="327"/>
      <c r="AS16" s="1155">
        <v>0</v>
      </c>
    </row>
    <row r="17" ht="14.25" hidden="1" customHeight="1">
      <c r="AD17" s="1360"/>
      <c r="AE17" s="1360"/>
      <c r="AF17" s="1360"/>
      <c r="AG17" s="1361"/>
      <c r="AH17" s="2267"/>
      <c r="AI17" s="2268" t="s">
        <v>65</v>
      </c>
      <c r="AJ17" s="2267"/>
      <c r="AK17" s="2268" t="s">
        <v>65</v>
      </c>
      <c r="AS17" s="1155">
        <v>0</v>
      </c>
    </row>
    <row r="18" ht="14.25" hidden="1" customHeight="1">
      <c r="AD18" s="1360"/>
      <c r="AE18" s="1360"/>
      <c r="AF18" s="1360"/>
      <c r="AG18" s="328" t="str">
        <f>AH17&amp;"-"&amp;AJ17</f>
        <v>-</v>
      </c>
      <c r="AH18" s="2268"/>
      <c r="AI18" s="2268"/>
      <c r="AJ18" s="2268"/>
      <c r="AK18" s="2268"/>
      <c r="AS18" s="1155">
        <v>0</v>
      </c>
    </row>
    <row r="19" ht="14.25" hidden="1" customHeight="1">
      <c r="AK19" s="327"/>
      <c r="AS19" s="1155">
        <v>0</v>
      </c>
    </row>
    <row r="20" s="1366" customFormat="1" ht="22.5" hidden="1" customHeight="1">
      <c r="L20" s="1329"/>
      <c r="M20" s="1362"/>
      <c r="N20" s="1362"/>
      <c r="O20" s="1367" t="s">
        <v>419</v>
      </c>
      <c r="P20" s="1362"/>
      <c r="Q20" s="1371"/>
      <c r="R20" s="1371"/>
      <c r="S20" s="729"/>
      <c r="Z20" s="1367"/>
      <c r="AB20" s="1367"/>
      <c r="AC20" s="1366"/>
      <c r="AH20" s="1367"/>
      <c r="AJ20" s="1367"/>
      <c r="AK20" s="1366"/>
      <c r="AN20" s="511"/>
      <c r="AO20" s="511"/>
      <c r="AP20" s="511"/>
      <c r="AQ20" s="511"/>
      <c r="AR20" s="511"/>
      <c r="AS20" s="1160">
        <v>0</v>
      </c>
    </row>
    <row r="21" s="1366" customFormat="1" ht="14.25" hidden="1" customHeight="1">
      <c r="L21" s="1329"/>
      <c r="M21" s="1362"/>
      <c r="N21" s="1362"/>
      <c r="O21" s="1362"/>
      <c r="P21" s="1362"/>
      <c r="Q21" s="1371"/>
      <c r="R21" s="1371"/>
      <c r="S21" s="729"/>
      <c r="AC21" s="1366"/>
      <c r="AK21" s="1366"/>
      <c r="AN21" s="511"/>
      <c r="AO21" s="511"/>
      <c r="AP21" s="511"/>
      <c r="AQ21" s="511"/>
      <c r="AR21" s="511"/>
      <c r="AS21" s="1160">
        <v>0</v>
      </c>
    </row>
    <row r="22" s="1366" customFormat="1" ht="14.25" hidden="1" customHeight="1">
      <c r="L22" s="1329"/>
      <c r="M22" s="1362"/>
      <c r="N22" s="1362"/>
      <c r="O22" s="1364" t="s">
        <v>420</v>
      </c>
      <c r="P22" s="1362"/>
      <c r="Q22" s="1371"/>
      <c r="R22" s="1371"/>
      <c r="S22" s="729"/>
      <c r="T22" s="1160" t="s">
        <v>421</v>
      </c>
      <c r="AA22" s="186" t="s">
        <v>422</v>
      </c>
      <c r="AC22" s="186" t="s">
        <v>423</v>
      </c>
      <c r="AD22" s="1160" t="s">
        <v>421</v>
      </c>
      <c r="AI22" s="186" t="s">
        <v>424</v>
      </c>
      <c r="AK22" s="186" t="s">
        <v>423</v>
      </c>
      <c r="AN22" s="511"/>
      <c r="AO22" s="511"/>
      <c r="AP22" s="511"/>
      <c r="AQ22" s="511"/>
      <c r="AR22" s="511"/>
      <c r="AS22" s="1160">
        <v>0</v>
      </c>
    </row>
    <row r="23" ht="14.25" hidden="1" customHeight="1">
      <c r="O23" s="1364"/>
      <c r="AS23" s="1155">
        <v>0</v>
      </c>
    </row>
    <row r="24" ht="14.25" hidden="1" customHeight="1">
      <c r="O24" s="1364"/>
      <c r="AS24" s="1155">
        <v>0</v>
      </c>
    </row>
    <row r="25" ht="14.65" customHeight="1">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r="26" ht="14.65" customHeight="1">
      <c r="Q26" s="376"/>
      <c r="R26" s="376"/>
      <c r="S26" s="2248" t="str">
        <f>IF(TEMPLATE_GROUP="P",PT_P_FORM_HEAT_4_NAME_FORM,PT_R_FORM_HEAT_21_NAME_FORM)</f>
        <v xml:space="preserve">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r="27" ht="14.65" customHeight="1">
      <c r="Q27" s="376"/>
      <c r="R27" s="376"/>
      <c r="S27" s="2249" t="str">
        <f>IF(org=0,"Не определено",org)</f>
        <v xml:space="preserve">филиал ПАО "ОГК-2" - Рязанская ГРЭС</v>
      </c>
      <c r="T27" s="2249"/>
      <c r="U27" s="2249"/>
      <c r="V27" s="2249"/>
      <c r="W27" s="2249"/>
      <c r="X27" s="2249"/>
      <c r="Y27" s="2249"/>
      <c r="Z27" s="2249"/>
      <c r="AA27" s="2249"/>
      <c r="AB27" s="2249"/>
      <c r="AC27" s="2249"/>
      <c r="AD27" s="2249"/>
      <c r="AE27" s="2249"/>
      <c r="AF27" s="2249"/>
      <c r="AG27" s="2249"/>
      <c r="AH27" s="2249"/>
      <c r="AI27" s="2249"/>
      <c r="AJ27" s="2249"/>
      <c r="AK27" s="1243"/>
      <c r="AS27" s="1155">
        <v>14</v>
      </c>
    </row>
    <row r="28" ht="14.25" hidden="1" customHeight="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r="29" s="1853" customFormat="1" ht="25.5" hidden="1" customHeight="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r="30" s="1853" customFormat="1" ht="18.75" hidden="1" customHeight="1">
      <c r="A30" s="1368"/>
      <c r="B30" s="1368"/>
      <c r="C30" s="1368"/>
      <c r="D30" s="1368"/>
      <c r="E30" s="1368"/>
      <c r="F30" s="1368"/>
      <c r="G30" s="1368"/>
      <c r="H30" s="1368"/>
      <c r="I30" s="1368"/>
      <c r="J30" s="1368"/>
      <c r="K30" s="1368"/>
      <c r="L30" s="1369"/>
      <c r="M30" s="1368"/>
      <c r="N30" s="1368"/>
      <c r="O30" s="1368"/>
      <c r="S30" s="2250" t="s">
        <v>425</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r="31" s="1853" customFormat="1" ht="18.75" hidden="1" customHeight="1">
      <c r="A31" s="1368"/>
      <c r="B31" s="1368"/>
      <c r="C31" s="1368"/>
      <c r="D31" s="1368"/>
      <c r="E31" s="1368"/>
      <c r="F31" s="1368"/>
      <c r="G31" s="1368"/>
      <c r="H31" s="1368"/>
      <c r="I31" s="1368"/>
      <c r="J31" s="1368"/>
      <c r="K31" s="1368"/>
      <c r="L31" s="1369"/>
      <c r="M31" s="1368"/>
      <c r="N31" s="1368"/>
      <c r="O31" s="1368"/>
      <c r="S31" s="2250" t="s">
        <v>426</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r="32" s="1853" customFormat="1" ht="18.75" hidden="1" customHeight="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r="33" ht="14.25" hidden="1" customHeight="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r="34" s="1853" customFormat="1" ht="18.75" hidden="1" customHeight="1">
      <c r="A34" s="1368"/>
      <c r="B34" s="1368"/>
      <c r="C34" s="1368"/>
      <c r="D34" s="1368"/>
      <c r="E34" s="1368"/>
      <c r="F34" s="1368"/>
      <c r="G34" s="1368"/>
      <c r="H34" s="1368"/>
      <c r="I34" s="1368"/>
      <c r="J34" s="1368"/>
      <c r="K34" s="1368"/>
      <c r="L34" s="1369"/>
      <c r="M34" s="1368"/>
      <c r="N34" s="1368"/>
      <c r="O34" s="1368"/>
      <c r="S34" s="2250" t="s">
        <v>427</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r="35" s="1853" customFormat="1" ht="18.75" hidden="1" customHeight="1">
      <c r="A35" s="1368"/>
      <c r="B35" s="1368"/>
      <c r="C35" s="1368"/>
      <c r="D35" s="1368"/>
      <c r="E35" s="1368"/>
      <c r="F35" s="1368"/>
      <c r="G35" s="1368"/>
      <c r="H35" s="1368"/>
      <c r="I35" s="1368"/>
      <c r="J35" s="1368"/>
      <c r="K35" s="1368"/>
      <c r="L35" s="1369"/>
      <c r="M35" s="1368"/>
      <c r="N35" s="1368"/>
      <c r="O35" s="1368"/>
      <c r="S35" s="2250" t="s">
        <v>428</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r="36" s="1853" customFormat="1" ht="0" customHeight="1">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429</v>
      </c>
      <c r="AD36" s="326"/>
      <c r="AE36" s="326"/>
      <c r="AF36" s="326"/>
      <c r="AG36" s="326"/>
      <c r="AH36" s="326"/>
      <c r="AI36" s="326"/>
      <c r="AJ36" s="326"/>
      <c r="AK36" s="278" t="s">
        <v>429</v>
      </c>
      <c r="AN36" s="368"/>
      <c r="AO36" s="368"/>
      <c r="AP36" s="368"/>
      <c r="AQ36" s="368"/>
      <c r="AR36" s="368"/>
      <c r="AS36" s="418">
        <v>0</v>
      </c>
    </row>
    <row r="37" ht="14.65" customHeight="1">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r="38" ht="14.65" customHeight="1">
      <c r="Q38" s="376"/>
      <c r="R38" s="376"/>
      <c r="S38" s="2127" t="s">
        <v>302</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303</v>
      </c>
      <c r="AS38" s="1155">
        <v>14</v>
      </c>
    </row>
    <row r="39" ht="14.65" customHeight="1">
      <c r="Q39" s="376"/>
      <c r="R39" s="376"/>
      <c r="S39" s="2273" t="s">
        <v>87</v>
      </c>
      <c r="T39" s="2209" t="s">
        <v>430</v>
      </c>
      <c r="U39" s="301"/>
      <c r="V39" s="2274" t="s">
        <v>431</v>
      </c>
      <c r="W39" s="2275"/>
      <c r="X39" s="2275"/>
      <c r="Y39" s="2275"/>
      <c r="Z39" s="2275"/>
      <c r="AA39" s="2275"/>
      <c r="AB39" s="2276"/>
      <c r="AC39" s="2277" t="s">
        <v>432</v>
      </c>
      <c r="AD39" s="2274" t="s">
        <v>431</v>
      </c>
      <c r="AE39" s="2275"/>
      <c r="AF39" s="2275"/>
      <c r="AG39" s="2275"/>
      <c r="AH39" s="2275"/>
      <c r="AI39" s="2275"/>
      <c r="AJ39" s="2276"/>
      <c r="AK39" s="2277" t="s">
        <v>433</v>
      </c>
      <c r="AL39" s="2280" t="s">
        <v>434</v>
      </c>
      <c r="AM39" s="2127"/>
      <c r="AS39" s="1155">
        <v>14</v>
      </c>
    </row>
    <row r="40" ht="35.649999999999999" customHeight="1">
      <c r="Q40" s="376"/>
      <c r="R40" s="376"/>
      <c r="S40" s="2273"/>
      <c r="T40" s="2209"/>
      <c r="U40" s="1031"/>
      <c r="V40" s="2260" t="s">
        <v>435</v>
      </c>
      <c r="W40" s="2283" t="s">
        <v>436</v>
      </c>
      <c r="X40" s="2262" t="s">
        <v>437</v>
      </c>
      <c r="Y40" s="2263"/>
      <c r="Z40" s="2262" t="s">
        <v>451</v>
      </c>
      <c r="AA40" s="2269"/>
      <c r="AB40" s="2263"/>
      <c r="AC40" s="2278"/>
      <c r="AD40" s="2260" t="s">
        <v>435</v>
      </c>
      <c r="AE40" s="2283" t="s">
        <v>436</v>
      </c>
      <c r="AF40" s="2262" t="s">
        <v>437</v>
      </c>
      <c r="AG40" s="2263"/>
      <c r="AH40" s="2262" t="s">
        <v>438</v>
      </c>
      <c r="AI40" s="2269"/>
      <c r="AJ40" s="2263"/>
      <c r="AK40" s="2278"/>
      <c r="AL40" s="2281"/>
      <c r="AM40" s="2127"/>
      <c r="AS40" s="1155">
        <v>34</v>
      </c>
    </row>
    <row r="41" ht="35.649999999999999" customHeight="1">
      <c r="A41" s="1370"/>
      <c r="B41" s="1370" t="s">
        <v>139</v>
      </c>
      <c r="C41" s="1370" t="s">
        <v>140</v>
      </c>
      <c r="D41" s="1370" t="s">
        <v>141</v>
      </c>
      <c r="E41" s="1364" t="s">
        <v>439</v>
      </c>
      <c r="F41" s="1364" t="s">
        <v>440</v>
      </c>
      <c r="G41" s="1364" t="s">
        <v>441</v>
      </c>
      <c r="H41" s="1364" t="s">
        <v>442</v>
      </c>
      <c r="I41" s="1364" t="s">
        <v>443</v>
      </c>
      <c r="J41" s="1364" t="s">
        <v>444</v>
      </c>
      <c r="K41" s="1364" t="s">
        <v>445</v>
      </c>
      <c r="L41" s="1364" t="s">
        <v>420</v>
      </c>
      <c r="Q41" s="376"/>
      <c r="R41" s="376"/>
      <c r="S41" s="2273"/>
      <c r="T41" s="2209"/>
      <c r="U41" s="302"/>
      <c r="V41" s="2261"/>
      <c r="W41" s="2284"/>
      <c r="X41" s="1222" t="s">
        <v>446</v>
      </c>
      <c r="Y41" s="1222" t="s">
        <v>447</v>
      </c>
      <c r="Z41" s="1338" t="s">
        <v>448</v>
      </c>
      <c r="AA41" s="2270" t="s">
        <v>449</v>
      </c>
      <c r="AB41" s="2271"/>
      <c r="AC41" s="2279"/>
      <c r="AD41" s="2261"/>
      <c r="AE41" s="2284"/>
      <c r="AF41" s="1222" t="s">
        <v>446</v>
      </c>
      <c r="AG41" s="1222" t="s">
        <v>447</v>
      </c>
      <c r="AH41" s="1338" t="s">
        <v>448</v>
      </c>
      <c r="AI41" s="2270" t="s">
        <v>449</v>
      </c>
      <c r="AJ41" s="2271"/>
      <c r="AK41" s="2279"/>
      <c r="AL41" s="2282"/>
      <c r="AM41" s="2127"/>
      <c r="AS41" s="1155">
        <v>34</v>
      </c>
    </row>
    <row r="42" s="1641" customFormat="1" ht="11.25" hidden="1" customHeight="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r="43" ht="22" customHeight="1">
      <c r="A43" s="1363" t="s">
        <v>165</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127</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 xml:space="preserve">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 xml:space="preserve">Наименование тарифа</v>
      </c>
      <c r="AQ43" s="500"/>
      <c r="AR43" s="500"/>
      <c r="AS43" s="1155">
        <v>21</v>
      </c>
    </row>
    <row r="44" ht="22" customHeight="1">
      <c r="A44" s="1363" t="s">
        <v>165</v>
      </c>
      <c r="B44" s="1363" t="s">
        <v>166</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400</v>
      </c>
      <c r="AO44" s="500"/>
      <c r="AP44" s="500" t="str">
        <f>IF(T44="","",T44)</f>
        <v xml:space="preserve">Территория действия тарифа</v>
      </c>
      <c r="AQ44" s="500"/>
      <c r="AR44" s="500"/>
      <c r="AS44" s="1155">
        <v>21</v>
      </c>
    </row>
    <row r="45" ht="24" customHeight="1">
      <c r="A45" s="1363" t="s">
        <v>165</v>
      </c>
      <c r="B45" s="1363" t="s">
        <v>166</v>
      </c>
      <c r="C45" s="1363" t="s">
        <v>167</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402</v>
      </c>
      <c r="AO45" s="500"/>
      <c r="AP45" s="500" t="str">
        <f>IF(T45="","",T45)</f>
        <v xml:space="preserve">Наименование системы теплоснабжения</v>
      </c>
      <c r="AQ45" s="500"/>
      <c r="AR45" s="500"/>
      <c r="AS45" s="1155">
        <v>23</v>
      </c>
    </row>
    <row r="46" ht="22" customHeight="1">
      <c r="A46" s="1363" t="s">
        <v>165</v>
      </c>
      <c r="B46" s="1363" t="s">
        <v>166</v>
      </c>
      <c r="C46" s="1363" t="s">
        <v>167</v>
      </c>
      <c r="D46" s="1363" t="s">
        <v>168</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404</v>
      </c>
      <c r="AO46" s="500"/>
      <c r="AP46" s="500" t="str">
        <f>IF(T46="","",T46)</f>
        <v xml:space="preserve">Источник тепловой энергии</v>
      </c>
      <c r="AQ46" s="500"/>
      <c r="AR46" s="500"/>
      <c r="AS46" s="1155">
        <v>21</v>
      </c>
    </row>
    <row r="47" ht="49.5" customHeight="1">
      <c r="A47" s="1363" t="s">
        <v>165</v>
      </c>
      <c r="B47" s="1363" t="s">
        <v>166</v>
      </c>
      <c r="C47" s="1363" t="s">
        <v>167</v>
      </c>
      <c r="D47" s="1363" t="s">
        <v>168</v>
      </c>
      <c r="E47" s="2259"/>
      <c r="F47" s="2259"/>
      <c r="G47" s="2259"/>
      <c r="H47" s="2259"/>
      <c r="I47" s="2256" t="str">
        <f>S46&amp;".1"</f>
        <v>....1</v>
      </c>
      <c r="J47" s="1363"/>
      <c r="K47" s="1363"/>
      <c r="L47" s="1364" t="s">
        <v>405</v>
      </c>
      <c r="P47" s="2257">
        <v>1</v>
      </c>
      <c r="Q47" s="1331"/>
      <c r="R47" s="356"/>
      <c r="S47" s="1336" t="str">
        <f>$I47</f>
        <v>....1</v>
      </c>
      <c r="T47" s="285" t="s">
        <v>406</v>
      </c>
      <c r="U47" s="300"/>
      <c r="V47" s="2245"/>
      <c r="W47" s="2246"/>
      <c r="X47" s="2246"/>
      <c r="Y47" s="2246"/>
      <c r="Z47" s="2246"/>
      <c r="AA47" s="2246"/>
      <c r="AB47" s="2246"/>
      <c r="AC47" s="2247"/>
      <c r="AD47" s="2245"/>
      <c r="AE47" s="2246"/>
      <c r="AF47" s="2246"/>
      <c r="AG47" s="2246"/>
      <c r="AH47" s="2246"/>
      <c r="AI47" s="2246"/>
      <c r="AJ47" s="2246"/>
      <c r="AK47" s="2246"/>
      <c r="AL47" s="2247"/>
      <c r="AM47" s="1258" t="s">
        <v>407</v>
      </c>
      <c r="AO47" s="500"/>
      <c r="AP47" s="500" t="str">
        <f>IF(T47="","",T47)</f>
        <v xml:space="preserve">Схема подключения теплопотребляющей установки к коллектору источника тепловой энергии</v>
      </c>
      <c r="AQ47" s="500"/>
      <c r="AR47" s="500"/>
      <c r="AS47" s="1155">
        <v>47</v>
      </c>
    </row>
    <row r="48" ht="22" customHeight="1">
      <c r="A48" s="1363" t="s">
        <v>165</v>
      </c>
      <c r="B48" s="1363" t="s">
        <v>166</v>
      </c>
      <c r="C48" s="1363" t="s">
        <v>167</v>
      </c>
      <c r="D48" s="1363" t="s">
        <v>168</v>
      </c>
      <c r="E48" s="2259"/>
      <c r="F48" s="2259"/>
      <c r="G48" s="2259"/>
      <c r="H48" s="2259"/>
      <c r="I48" s="2286"/>
      <c r="J48" s="2256" t="str">
        <f>I47&amp;".1"</f>
        <v>....1.1</v>
      </c>
      <c r="K48" s="1363"/>
      <c r="L48" s="1364" t="s">
        <v>408</v>
      </c>
      <c r="P48" s="2257"/>
      <c r="Q48" s="2257">
        <v>1</v>
      </c>
      <c r="R48" s="357"/>
      <c r="S48" s="1336" t="str">
        <f>$J48</f>
        <v>....1.1</v>
      </c>
      <c r="T48" s="286" t="s">
        <v>409</v>
      </c>
      <c r="U48" s="300"/>
      <c r="V48" s="2245"/>
      <c r="W48" s="2246"/>
      <c r="X48" s="2246"/>
      <c r="Y48" s="2246"/>
      <c r="Z48" s="2246"/>
      <c r="AA48" s="2246"/>
      <c r="AB48" s="2246"/>
      <c r="AC48" s="2247"/>
      <c r="AD48" s="2245"/>
      <c r="AE48" s="2246"/>
      <c r="AF48" s="2246"/>
      <c r="AG48" s="2246"/>
      <c r="AH48" s="2246"/>
      <c r="AI48" s="2246"/>
      <c r="AJ48" s="2246"/>
      <c r="AK48" s="2246"/>
      <c r="AL48" s="2247"/>
      <c r="AM48" s="1258" t="s">
        <v>410</v>
      </c>
      <c r="AO48" s="500"/>
      <c r="AP48" s="500" t="str">
        <f>IF(T48="","",T48)</f>
        <v xml:space="preserve">Группа потребителей</v>
      </c>
      <c r="AQ48" s="500"/>
      <c r="AR48" s="500"/>
      <c r="AS48" s="1155">
        <v>21</v>
      </c>
    </row>
    <row r="49" ht="22" customHeight="1">
      <c r="A49" s="1363" t="s">
        <v>165</v>
      </c>
      <c r="B49" s="1363" t="s">
        <v>166</v>
      </c>
      <c r="C49" s="1363" t="s">
        <v>167</v>
      </c>
      <c r="D49" s="1363" t="s">
        <v>168</v>
      </c>
      <c r="E49" s="2259"/>
      <c r="F49" s="2259"/>
      <c r="G49" s="2259"/>
      <c r="H49" s="2259"/>
      <c r="I49" s="2286"/>
      <c r="J49" s="2286"/>
      <c r="K49" s="2256" t="str">
        <f>J48&amp;".1"</f>
        <v>....1.1.1</v>
      </c>
      <c r="L49" s="1364" t="s">
        <v>411</v>
      </c>
      <c r="P49" s="2257"/>
      <c r="Q49" s="2257"/>
      <c r="R49" s="357">
        <v>1</v>
      </c>
      <c r="S49" s="1336"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412</v>
      </c>
      <c r="AN49" s="511">
        <f>STRCHECKDATE(V50:AL50)</f>
      </c>
      <c r="AO49" s="500"/>
      <c r="AP49" s="500" t="str">
        <f>IF(T49="","",T49)</f>
        <v/>
      </c>
      <c r="AQ49" s="500"/>
      <c r="AR49" s="500"/>
      <c r="AS49" s="1155">
        <v>21</v>
      </c>
    </row>
    <row r="50" ht="1.05" customHeight="1">
      <c r="A50" s="1363" t="s">
        <v>165</v>
      </c>
      <c r="B50" s="1363" t="s">
        <v>166</v>
      </c>
      <c r="C50" s="1363" t="s">
        <v>167</v>
      </c>
      <c r="D50" s="1363" t="s">
        <v>168</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r="51" ht="11.5" customHeight="1">
      <c r="A51" s="1363" t="s">
        <v>165</v>
      </c>
      <c r="B51" s="1363" t="s">
        <v>166</v>
      </c>
      <c r="C51" s="1363" t="s">
        <v>167</v>
      </c>
      <c r="D51" s="1363" t="s">
        <v>168</v>
      </c>
      <c r="E51" s="2259"/>
      <c r="F51" s="2259"/>
      <c r="G51" s="2259"/>
      <c r="H51" s="2259"/>
      <c r="I51" s="2286"/>
      <c r="J51" s="2256"/>
      <c r="K51" s="1363"/>
      <c r="L51" s="1364"/>
      <c r="P51" s="2257"/>
      <c r="Q51" s="2257"/>
      <c r="R51" s="356"/>
      <c r="S51" s="1278"/>
      <c r="T51" s="288" t="s">
        <v>413</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 xml:space="preserve">Добавить вид теплоносителя (параметры теплоносителя)</v>
      </c>
      <c r="AQ51" s="500"/>
      <c r="AR51" s="500"/>
      <c r="AS51" s="1155">
        <v>11</v>
      </c>
    </row>
    <row r="52" ht="11.5" customHeight="1">
      <c r="A52" s="1363" t="s">
        <v>165</v>
      </c>
      <c r="B52" s="1363" t="s">
        <v>166</v>
      </c>
      <c r="C52" s="1363" t="s">
        <v>167</v>
      </c>
      <c r="D52" s="1363" t="s">
        <v>168</v>
      </c>
      <c r="E52" s="2259"/>
      <c r="F52" s="2259"/>
      <c r="G52" s="2259"/>
      <c r="H52" s="2259"/>
      <c r="I52" s="2256"/>
      <c r="J52" s="1363"/>
      <c r="K52" s="1363"/>
      <c r="L52" s="1364"/>
      <c r="P52" s="2257"/>
      <c r="Q52" s="1331"/>
      <c r="R52" s="356"/>
      <c r="S52" s="1278"/>
      <c r="T52" s="287" t="s">
        <v>414</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 xml:space="preserve">Добавить группу потребителей</v>
      </c>
      <c r="AQ52" s="500"/>
      <c r="AR52" s="500"/>
      <c r="AS52" s="1155">
        <v>11</v>
      </c>
    </row>
    <row r="53" ht="14.65" customHeight="1">
      <c r="A53" s="1363" t="s">
        <v>165</v>
      </c>
      <c r="B53" s="1363" t="s">
        <v>166</v>
      </c>
      <c r="C53" s="1363" t="s">
        <v>167</v>
      </c>
      <c r="D53" s="1363" t="s">
        <v>168</v>
      </c>
      <c r="E53" s="2259"/>
      <c r="F53" s="2259"/>
      <c r="G53" s="2259"/>
      <c r="H53" s="2258"/>
      <c r="I53" s="1363"/>
      <c r="J53" s="1363"/>
      <c r="K53" s="1363"/>
      <c r="L53" s="1364"/>
      <c r="M53" s="1365"/>
      <c r="N53" s="1365"/>
      <c r="O53" s="537"/>
      <c r="P53" s="360"/>
      <c r="Q53" s="375"/>
      <c r="R53" s="355"/>
      <c r="S53" s="1278"/>
      <c r="T53" s="365" t="s">
        <v>415</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 xml:space="preserve">Добавить схему подключения</v>
      </c>
      <c r="AQ53" s="500"/>
      <c r="AR53" s="500"/>
      <c r="AS53" s="1155">
        <v>14</v>
      </c>
    </row>
    <row r="54" s="1642" customFormat="1" ht="1.05" customHeight="1">
      <c r="A54" s="1343" t="s">
        <v>165</v>
      </c>
      <c r="B54" s="1343" t="s">
        <v>166</v>
      </c>
      <c r="C54" s="1343" t="s">
        <v>167</v>
      </c>
      <c r="D54" s="1314"/>
      <c r="E54" s="2259"/>
      <c r="F54" s="2259"/>
      <c r="G54" s="2258"/>
      <c r="H54" s="1314"/>
      <c r="I54" s="1314"/>
      <c r="J54" s="1314"/>
      <c r="K54" s="1314"/>
      <c r="L54" s="1339"/>
      <c r="M54" s="1315"/>
      <c r="N54" s="1315"/>
      <c r="P54" s="1316"/>
      <c r="Q54" s="1317"/>
      <c r="R54" s="1316"/>
      <c r="S54" s="1322"/>
      <c r="T54" s="1325" t="s">
        <v>416</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 xml:space="preserve">Добавить источник для дифференциации</v>
      </c>
      <c r="AQ54" s="789"/>
      <c r="AR54" s="789"/>
      <c r="AS54" s="518">
        <v>1</v>
      </c>
    </row>
    <row r="55" s="1642" customFormat="1" ht="1.05" customHeight="1">
      <c r="A55" s="1343" t="s">
        <v>165</v>
      </c>
      <c r="B55" s="1343" t="s">
        <v>166</v>
      </c>
      <c r="C55" s="1314"/>
      <c r="D55" s="1314"/>
      <c r="E55" s="2259"/>
      <c r="F55" s="2258"/>
      <c r="G55" s="1314"/>
      <c r="H55" s="1314"/>
      <c r="I55" s="1314"/>
      <c r="J55" s="1314"/>
      <c r="K55" s="1314"/>
      <c r="L55" s="1339"/>
      <c r="M55" s="1321"/>
      <c r="N55" s="1321"/>
      <c r="P55" s="1316"/>
      <c r="Q55" s="1317"/>
      <c r="R55" s="1316"/>
      <c r="S55" s="1322"/>
      <c r="T55" s="1325" t="s">
        <v>417</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 xml:space="preserve">Добавить централизованную систему для дифференциации</v>
      </c>
      <c r="AQ55" s="789"/>
      <c r="AR55" s="789"/>
      <c r="AS55" s="518">
        <v>1</v>
      </c>
    </row>
    <row r="56" s="1642" customFormat="1" ht="1.05" customHeight="1">
      <c r="A56" s="1343" t="s">
        <v>165</v>
      </c>
      <c r="B56" s="1343"/>
      <c r="C56" s="1343"/>
      <c r="D56" s="1343"/>
      <c r="E56" s="2258"/>
      <c r="F56" s="1343"/>
      <c r="G56" s="1343"/>
      <c r="H56" s="1343"/>
      <c r="I56" s="1343"/>
      <c r="J56" s="1343"/>
      <c r="K56" s="1343"/>
      <c r="L56" s="1346"/>
      <c r="M56" s="1321"/>
      <c r="N56" s="1321"/>
      <c r="O56" s="518"/>
      <c r="P56" s="380"/>
      <c r="Q56" s="1344"/>
      <c r="R56" s="380"/>
      <c r="S56" s="1322"/>
      <c r="T56" s="1325" t="s">
        <v>418</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 xml:space="preserve">Добавить территорию для дифференциации</v>
      </c>
      <c r="AQ56" s="500"/>
      <c r="AR56" s="500"/>
      <c r="AS56" s="511">
        <v>1</v>
      </c>
    </row>
    <row r="57" s="1642" customFormat="1" ht="1.05" customHeight="1">
      <c r="A57" s="1314"/>
      <c r="B57" s="1314"/>
      <c r="C57" s="1314"/>
      <c r="D57" s="1314"/>
      <c r="E57" s="1343"/>
      <c r="F57" s="1314"/>
      <c r="G57" s="1314"/>
      <c r="H57" s="1314"/>
      <c r="I57" s="1314"/>
      <c r="J57" s="1314"/>
      <c r="K57" s="1314"/>
      <c r="L57" s="1339"/>
      <c r="M57" s="1321"/>
      <c r="N57" s="1321"/>
      <c r="P57" s="1316"/>
      <c r="Q57" s="1317"/>
      <c r="R57" s="1316"/>
      <c r="S57" s="1322"/>
      <c r="T57" s="1325" t="s">
        <v>450</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 xml:space="preserve">Добавить наименование тарифа</v>
      </c>
      <c r="AQ57" s="789"/>
      <c r="AR57" s="789"/>
      <c r="AS57" s="518">
        <v>1</v>
      </c>
    </row>
    <row r="58" ht="11.5" customHeight="1">
      <c r="M58" s="1160"/>
      <c r="N58" s="1160"/>
      <c r="O58" s="537"/>
      <c r="P58" s="1155"/>
      <c r="Q58" s="1155"/>
      <c r="R58" s="1155"/>
      <c r="S58" s="1155"/>
      <c r="AN58" s="1155"/>
      <c r="AO58" s="1155"/>
      <c r="AP58" s="1155"/>
      <c r="AQ58" s="1155"/>
      <c r="AR58" s="1155"/>
      <c r="AS58" s="1155">
        <v>11</v>
      </c>
    </row>
    <row r="59" ht="28.5" customHeight="1">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r="60" ht="65.25" customHeight="1">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r="61" ht="14.65" customHeight="1">
      <c r="O61" s="537"/>
      <c r="AS61" s="1155">
        <v>14</v>
      </c>
    </row>
    <row r="62" ht="18.75" customHeight="1">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r="63" ht="18.75" customHeight="1">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r="64" ht="29.25" customHeight="1">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r="65" ht="22.5" hidden="1" customHeight="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autoFilter="0" deleteColumns="0" deleteRows="0" formatColumns="0" formatRows="0" insertColumns="1" insertRows="0" sort="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4">
    <dataValidation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allowBlank="1" promptTitle="checkPeriodRange"/>
    <dataValidation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allowBlank="1" prompt="Для выбора выполните двойной щелчок левой клавиши мыши по соответствующей ячейке." showErrorMessage="1" showInputMessage="1"/>
    <dataValidation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llowBlank="1" prompt="Выберите дату из календаря (иконка справа от указанной ячейки), либо введите дату непосредственно в ячейку в формате - 'ДД.ММ.ГГГГ'." showErrorMessage="1" showInputMessage="1"/>
    <dataValidation sqref="S131123:AM131129 S196659:AM196665 S262195:AM262201 S327731:AM327737 S393267:AM393273 S458803:AM458809 S524339:AM524345 S589875:AM589881 S655411:AM655417 S720947:AM720953 S786483:AM786489 S852019:AM852025 S917555:AM917561 S983091:AM983097 S65587:AM65593" allowBlank="1"/>
  </dataValidations>
  <pageMargins left="0.69999999999999996" right="0.69999999999999996" top="0.75" bottom="0.75" header="0.29999999999999999" footer="0.29999999999999999"/>
  <pageSetup paperSize="9"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x14:dataValidation xr:uid="{00780044-000A-472A-88B1-00930036003C}" type="list" allowBlank="1" error="Выберите значение из списка" errorTitle="Ошибка" showErrorMessage="1" showInputMessage="1">
          <x14:formula1>
            <xm:f>kind_of_heat_transfer</xm:f>
          </x14:formula1>
          <xm:sqref>T65585 T131121 T196657 T262193 T327729 T393265 T458801 T524337 T589873 T655409 T720945 T786481 T852017 T917553 T983089</xm:sqref>
        </x14:dataValidation>
        <x14:dataValidation xr:uid="{00DB0072-001D-4760-A0B0-0029008F0095}" type="textLength" allowBlank="1" error="Допускается ввод не более 900 символов!" errorTitle="Ошибка" operator="lessThanOrEqual" showErrorMessage="1" showInputMessage="1">
          <x14:formula1>
            <xm:f>900</xm:f>
          </x14:formula1>
          <xm:sqref>AM65579:AM65586 AM131115:AM131122 AM196651:AM196658 AM262187:AM262194 AM327723:AM327730 AM393259:AM393266 AM458795:AM458802 AM524331:AM524338 AM589867:AM589874 AM655403:AM655410 AM720939:AM720946 AM786475:AM786482 AM852011:AM852018 AM917547:AM917554 AM983083:AM983090</xm:sqref>
        </x14:dataValidation>
        <x14:dataValidation xr:uid="{00FA00DB-0094-406A-9BAD-002400D600C2}" type="list" allowBlank="1" error="Выберите значение из списка" errorTitle="Ошибка" showErrorMessage="1" showInputMessage="1">
          <x14:formula1>
            <xm:f>kind_of_scheme_in</xm:f>
          </x14:formula1>
          <xm: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xm:sqref>
        </x14:dataValidation>
        <x14:dataValidation xr:uid="{000B0003-009C-4DCF-A6AB-007B005400BD}" type="list" allowBlank="1" error="Выберите значение из списка" errorTitle="Ошибка" prompt="Выберите значение из списка" showInputMessage="1">
          <x14:formula1>
            <xm:f>kind_of_cons</xm:f>
          </x14:formula1>
          <xm:sqref>V983088:AL983088 V65584:AL65584 V131120:AL131120 V196656:AL196656 V262192:AL262192 V327728:AL327728 V393264:AL393264 V458800:AL458800 V524336:AL524336 V589872:AL589872 V655408:AL655408 V720944:AL720944 V786480:AL786480 V852016:AL852016 V917552:AL917552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sheetPr>
  <sheetViews>
    <sheetView showGridLines="0" topLeftCell="A1" zoomScale="90" workbookViewId="0">
      <selection activeCell="A1" sqref="A1"/>
    </sheetView>
  </sheetViews>
  <sheetFormatPr defaultColWidth="10.57421875" defaultRowHeight="14.25" customHeight="1"/>
  <cols>
    <col hidden="1" min="1" max="1" style="1635" width="10.57421875"/>
    <col customWidth="1" hidden="1" min="2" max="2" style="1635" width="11.00390625"/>
    <col hidden="1" min="3" max="3" style="1635" width="10.57421875"/>
    <col customWidth="1" hidden="1" min="4" max="4" style="1635" width="11.8515625"/>
    <col customWidth="1" hidden="1" min="5" max="5" style="1635" width="10.00390625"/>
    <col customWidth="1" hidden="1" min="6" max="6" style="1635" width="8.7109375"/>
    <col customWidth="1" hidden="1" min="7" max="7" style="1635" width="7.57421875"/>
    <col customWidth="1" hidden="1" min="8" max="8" style="1635" width="11.421875"/>
    <col customWidth="1" hidden="1" min="9" max="9" style="1635" width="12.00390625"/>
    <col customWidth="1" hidden="1" min="10" max="10" style="1635" width="9.8515625"/>
    <col customWidth="1" hidden="1" min="11" max="11" style="1635" width="11.421875"/>
    <col customWidth="1" hidden="1" min="12" max="12" style="2125" width="19.140625"/>
    <col customWidth="1" hidden="1" min="13" max="14" style="2397" width="12.28125"/>
    <col customWidth="1" hidden="1" min="15" max="15" style="2397" width="23.421875"/>
    <col customWidth="1" min="16" max="16" style="2397" width="3.00390625"/>
    <col customWidth="1" min="17" max="18" style="344" width="3.00390625"/>
    <col customWidth="1" min="19" max="19" style="2407" width="12.00390625"/>
    <col customWidth="1" min="20" max="20" style="1635" width="31.00390625"/>
    <col customWidth="1" min="21" max="21" style="1635" width="0.140625"/>
    <col customWidth="1" hidden="1" min="22" max="22" style="1635" width="24.7109375"/>
    <col customWidth="1" hidden="1" min="23" max="23" style="1635" width="0.140625"/>
    <col customWidth="1" hidden="1" min="24" max="25" style="1635" width="24.7109375"/>
    <col customWidth="1" hidden="1" min="26" max="26" style="1635" width="11.7109375"/>
    <col customWidth="1" hidden="1" min="27" max="27" style="1635" width="3.7109375"/>
    <col customWidth="1" hidden="1" min="28" max="28" style="1635" width="11.7109375"/>
    <col customWidth="1" hidden="1" min="29" max="29" style="1635" width="8.57421875"/>
    <col customWidth="1" min="30" max="30" style="1635" width="24.7109375"/>
    <col customWidth="1" min="31" max="31" style="1635" width="0.140625"/>
    <col customWidth="1" min="32" max="33" style="1635" width="24.00390625"/>
    <col customWidth="1" min="34" max="34" style="1635" width="11.00390625"/>
    <col customWidth="1" min="35" max="35" style="1635" width="3.7109375"/>
    <col customWidth="1" min="36" max="36" style="1635" width="11.00390625"/>
    <col customWidth="1" hidden="1" min="37" max="37" style="1635" width="8.57421875"/>
    <col customWidth="1" min="38" max="38" style="1635" width="4.00390625"/>
    <col customWidth="1" min="39" max="39" style="1635" width="115.00390625"/>
    <col customWidth="1" min="40" max="44" style="1642" width="10.00390625"/>
    <col hidden="1" min="45" max="45" style="1635" width="10.57421875"/>
  </cols>
  <sheetData>
    <row r="1" ht="22.5" hidden="1" customHeight="1">
      <c r="AS1" s="1631" t="s">
        <v>14</v>
      </c>
    </row>
    <row r="2" ht="21" hidden="1" customHeight="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127</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398</v>
      </c>
      <c r="AO2" s="1624"/>
      <c r="AP2" s="1624" t="str">
        <f>IF(T2="","",T2)</f>
        <v xml:space="preserve">Наименование тарифа</v>
      </c>
      <c r="AQ2" s="1624"/>
      <c r="AR2" s="1624"/>
      <c r="AS2" s="1631">
        <v>0</v>
      </c>
    </row>
    <row r="3" ht="21" hidden="1" customHeight="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400</v>
      </c>
      <c r="AO3" s="1624"/>
      <c r="AP3" s="1624" t="str">
        <f>IF(T3="","",T3)</f>
        <v xml:space="preserve">Территория действия тарифа</v>
      </c>
      <c r="AQ3" s="1624"/>
      <c r="AR3" s="1624"/>
      <c r="AS3" s="1631">
        <v>0</v>
      </c>
    </row>
    <row r="4" ht="23.25" hidden="1" customHeight="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401</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402</v>
      </c>
      <c r="AO4" s="1624"/>
      <c r="AP4" s="1624" t="str">
        <f>IF(T4="","",T4)</f>
        <v xml:space="preserve">Наименование системы теплоснабжения</v>
      </c>
      <c r="AQ4" s="1624"/>
      <c r="AR4" s="1624"/>
      <c r="AS4" s="1631">
        <v>0</v>
      </c>
    </row>
    <row r="5" ht="21" hidden="1" customHeight="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403</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404</v>
      </c>
      <c r="AO5" s="1624"/>
      <c r="AP5" s="1624" t="str">
        <f>IF(T5="","",T5)</f>
        <v xml:space="preserve">Источник тепловой энергии</v>
      </c>
      <c r="AQ5" s="1624"/>
      <c r="AR5" s="1624"/>
      <c r="AS5" s="1631">
        <v>0</v>
      </c>
    </row>
    <row r="6" ht="47.25" hidden="1" customHeight="1">
      <c r="A6" s="1267"/>
      <c r="B6" s="1267"/>
      <c r="C6" s="1267"/>
      <c r="D6" s="1267"/>
      <c r="E6" s="2290"/>
      <c r="F6" s="2290"/>
      <c r="G6" s="2290"/>
      <c r="H6" s="2290"/>
      <c r="I6" s="2127">
        <f>S5&amp;".1"</f>
      </c>
      <c r="J6" s="1267"/>
      <c r="K6" s="1267"/>
      <c r="L6" s="1310" t="s">
        <v>405</v>
      </c>
      <c r="M6" s="1635"/>
      <c r="P6" s="2257">
        <v>1</v>
      </c>
      <c r="Q6" s="1954"/>
      <c r="R6" s="356"/>
      <c r="S6" s="1958">
        <f>$I6</f>
      </c>
      <c r="T6" s="285" t="s">
        <v>406</v>
      </c>
      <c r="U6" s="300"/>
      <c r="V6" s="2245"/>
      <c r="W6" s="2246"/>
      <c r="X6" s="2246"/>
      <c r="Y6" s="2246"/>
      <c r="Z6" s="2246"/>
      <c r="AA6" s="2246"/>
      <c r="AB6" s="2246"/>
      <c r="AC6" s="2247"/>
      <c r="AD6" s="2245"/>
      <c r="AE6" s="2246"/>
      <c r="AF6" s="2246"/>
      <c r="AG6" s="2246"/>
      <c r="AH6" s="2246"/>
      <c r="AI6" s="2246"/>
      <c r="AJ6" s="2246"/>
      <c r="AK6" s="2246"/>
      <c r="AL6" s="2247"/>
      <c r="AM6" s="1258" t="s">
        <v>407</v>
      </c>
      <c r="AO6" s="1624"/>
      <c r="AP6" s="1624" t="str">
        <f>IF(T6="","",T6)</f>
        <v xml:space="preserve">Схема подключения теплопотребляющей установки к коллектору источника тепловой энергии</v>
      </c>
      <c r="AQ6" s="1624"/>
      <c r="AR6" s="1624"/>
      <c r="AS6" s="1631">
        <v>0</v>
      </c>
    </row>
    <row r="7" ht="21" hidden="1" customHeight="1">
      <c r="A7" s="1267"/>
      <c r="B7" s="1267"/>
      <c r="C7" s="1267"/>
      <c r="D7" s="1267"/>
      <c r="E7" s="2290"/>
      <c r="F7" s="2290"/>
      <c r="G7" s="2290"/>
      <c r="H7" s="2290"/>
      <c r="I7" s="2101"/>
      <c r="J7" s="2127">
        <f>I6&amp;".1"</f>
      </c>
      <c r="K7" s="1267"/>
      <c r="L7" s="1310" t="s">
        <v>408</v>
      </c>
      <c r="M7" s="1635"/>
      <c r="N7" s="1631"/>
      <c r="P7" s="2257"/>
      <c r="Q7" s="2257">
        <v>1</v>
      </c>
      <c r="R7" s="357"/>
      <c r="S7" s="1958">
        <f>$J7</f>
      </c>
      <c r="T7" s="286" t="s">
        <v>409</v>
      </c>
      <c r="U7" s="300"/>
      <c r="V7" s="2245"/>
      <c r="W7" s="2246"/>
      <c r="X7" s="2246"/>
      <c r="Y7" s="2246"/>
      <c r="Z7" s="2246"/>
      <c r="AA7" s="2246"/>
      <c r="AB7" s="2246"/>
      <c r="AC7" s="2247"/>
      <c r="AD7" s="2245"/>
      <c r="AE7" s="2246"/>
      <c r="AF7" s="2246"/>
      <c r="AG7" s="2246"/>
      <c r="AH7" s="2246"/>
      <c r="AI7" s="2246"/>
      <c r="AJ7" s="2246"/>
      <c r="AK7" s="2246"/>
      <c r="AL7" s="2247"/>
      <c r="AM7" s="1258" t="s">
        <v>410</v>
      </c>
      <c r="AO7" s="1624"/>
      <c r="AP7" s="1624" t="str">
        <f>IF(T7="","",T7)</f>
        <v xml:space="preserve">Группа потребителей</v>
      </c>
      <c r="AQ7" s="1624"/>
      <c r="AR7" s="1624"/>
      <c r="AS7" s="1631">
        <v>0</v>
      </c>
    </row>
    <row r="8" ht="21" hidden="1" customHeight="1">
      <c r="A8" s="1267"/>
      <c r="B8" s="1267"/>
      <c r="C8" s="1267"/>
      <c r="D8" s="1267"/>
      <c r="E8" s="2290"/>
      <c r="F8" s="2290"/>
      <c r="G8" s="2290"/>
      <c r="H8" s="2290"/>
      <c r="I8" s="2101"/>
      <c r="J8" s="2101"/>
      <c r="K8" s="2127">
        <f>J7&amp;".1"</f>
      </c>
      <c r="L8" s="1310" t="s">
        <v>411</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412</v>
      </c>
      <c r="AN8" s="1636">
        <f>STRCHECKDATE(V9:AL9)</f>
      </c>
      <c r="AO8" s="1624"/>
      <c r="AP8" s="1624" t="str">
        <f>IF(T8="","",T8)</f>
        <v/>
      </c>
      <c r="AQ8" s="1624"/>
      <c r="AR8" s="1624"/>
      <c r="AS8" s="1631">
        <v>0</v>
      </c>
    </row>
    <row r="9" ht="0.75" hidden="1" customHeight="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r="10" ht="15" hidden="1" customHeight="1">
      <c r="A10" s="1267"/>
      <c r="B10" s="1267"/>
      <c r="C10" s="1267"/>
      <c r="D10" s="1267"/>
      <c r="E10" s="2290"/>
      <c r="F10" s="2290"/>
      <c r="G10" s="2290"/>
      <c r="H10" s="2290"/>
      <c r="I10" s="2101"/>
      <c r="J10" s="2127"/>
      <c r="K10" s="1267"/>
      <c r="L10" s="1310"/>
      <c r="M10" s="1635"/>
      <c r="N10" s="1631"/>
      <c r="P10" s="2257"/>
      <c r="Q10" s="2257"/>
      <c r="R10" s="356"/>
      <c r="S10" s="1278"/>
      <c r="T10" s="288" t="s">
        <v>413</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 xml:space="preserve">Добавить вид теплоносителя (параметры теплоносителя)</v>
      </c>
      <c r="AQ10" s="1624"/>
      <c r="AR10" s="1624"/>
      <c r="AS10" s="1631">
        <v>0</v>
      </c>
    </row>
    <row r="11" ht="15" hidden="1" customHeight="1">
      <c r="A11" s="1267"/>
      <c r="B11" s="1267"/>
      <c r="C11" s="1267"/>
      <c r="D11" s="1267"/>
      <c r="E11" s="2290"/>
      <c r="F11" s="2290"/>
      <c r="G11" s="2290"/>
      <c r="H11" s="2290"/>
      <c r="I11" s="2127"/>
      <c r="J11" s="1267"/>
      <c r="K11" s="1267"/>
      <c r="L11" s="1310"/>
      <c r="M11" s="1635"/>
      <c r="P11" s="2257"/>
      <c r="Q11" s="1954"/>
      <c r="R11" s="356"/>
      <c r="S11" s="1278"/>
      <c r="T11" s="287" t="s">
        <v>414</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 xml:space="preserve">Добавить группу потребителей</v>
      </c>
      <c r="AQ11" s="1624"/>
      <c r="AR11" s="1624"/>
      <c r="AS11" s="1631">
        <v>0</v>
      </c>
    </row>
    <row r="12" ht="14.25" hidden="1" customHeight="1">
      <c r="A12" s="1267"/>
      <c r="B12" s="1267"/>
      <c r="C12" s="1267"/>
      <c r="D12" s="1267"/>
      <c r="E12" s="2290"/>
      <c r="F12" s="2290"/>
      <c r="G12" s="2290"/>
      <c r="H12" s="2289"/>
      <c r="I12" s="1267"/>
      <c r="J12" s="1267"/>
      <c r="K12" s="1267"/>
      <c r="L12" s="1310"/>
      <c r="M12" s="1610"/>
      <c r="N12" s="1610"/>
      <c r="O12" s="1635"/>
      <c r="P12" s="360"/>
      <c r="Q12" s="375"/>
      <c r="R12" s="355"/>
      <c r="S12" s="1278"/>
      <c r="T12" s="365" t="s">
        <v>415</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 xml:space="preserve">Добавить схему подключения</v>
      </c>
      <c r="AQ12" s="1624"/>
      <c r="AR12" s="1624"/>
      <c r="AS12" s="1631">
        <v>0</v>
      </c>
    </row>
    <row r="13" s="1642" customFormat="1" ht="0.75" hidden="1" customHeight="1">
      <c r="A13" s="1374"/>
      <c r="B13" s="1374"/>
      <c r="C13" s="1374"/>
      <c r="D13" s="1374"/>
      <c r="E13" s="2290"/>
      <c r="F13" s="2290"/>
      <c r="G13" s="2289"/>
      <c r="H13" s="1374"/>
      <c r="I13" s="1374"/>
      <c r="J13" s="1374"/>
      <c r="K13" s="1374"/>
      <c r="L13" s="1377"/>
      <c r="M13" s="1378"/>
      <c r="N13" s="1378"/>
      <c r="O13" s="351"/>
      <c r="P13" s="1316"/>
      <c r="Q13" s="1317"/>
      <c r="R13" s="1316"/>
      <c r="S13" s="1318"/>
      <c r="T13" s="1319" t="s">
        <v>416</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 xml:space="preserve">Добавить источник для дифференциации</v>
      </c>
      <c r="AQ13" s="1251"/>
      <c r="AR13" s="1251"/>
      <c r="AS13" s="1642">
        <v>0</v>
      </c>
    </row>
    <row r="14" s="1642" customFormat="1" ht="0.75" hidden="1" customHeight="1">
      <c r="A14" s="1374"/>
      <c r="B14" s="1374"/>
      <c r="C14" s="1374"/>
      <c r="D14" s="1374"/>
      <c r="E14" s="2290"/>
      <c r="F14" s="2289"/>
      <c r="G14" s="1374"/>
      <c r="H14" s="1374"/>
      <c r="I14" s="1374"/>
      <c r="J14" s="1374"/>
      <c r="K14" s="1374"/>
      <c r="L14" s="1377"/>
      <c r="M14" s="1379"/>
      <c r="N14" s="1379"/>
      <c r="O14" s="351"/>
      <c r="P14" s="1316"/>
      <c r="Q14" s="1317"/>
      <c r="R14" s="1316"/>
      <c r="S14" s="1322"/>
      <c r="T14" s="1323" t="s">
        <v>417</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 xml:space="preserve">Добавить централизованную систему для дифференциации</v>
      </c>
      <c r="AQ14" s="1251"/>
      <c r="AR14" s="1251"/>
      <c r="AS14" s="1642">
        <v>0</v>
      </c>
    </row>
    <row r="15" s="1642" customFormat="1" ht="0.75" hidden="1" customHeight="1">
      <c r="A15" s="1374"/>
      <c r="B15" s="1374"/>
      <c r="C15" s="1374"/>
      <c r="D15" s="1374"/>
      <c r="E15" s="2289"/>
      <c r="F15" s="1374"/>
      <c r="G15" s="1374"/>
      <c r="H15" s="1374"/>
      <c r="I15" s="1374"/>
      <c r="J15" s="1374"/>
      <c r="K15" s="1374"/>
      <c r="L15" s="1377"/>
      <c r="M15" s="1379"/>
      <c r="N15" s="1379"/>
      <c r="O15" s="351"/>
      <c r="P15" s="1316"/>
      <c r="Q15" s="1317"/>
      <c r="R15" s="1316"/>
      <c r="S15" s="1322"/>
      <c r="T15" s="1325" t="s">
        <v>418</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 xml:space="preserve">Добавить территорию для дифференциации</v>
      </c>
      <c r="AQ15" s="1251"/>
      <c r="AR15" s="1251"/>
      <c r="AS15" s="1642">
        <v>0</v>
      </c>
    </row>
    <row r="16" ht="14.25" hidden="1" customHeight="1">
      <c r="AS16" s="1631">
        <v>0</v>
      </c>
    </row>
    <row r="17" ht="14.25" hidden="1" customHeight="1">
      <c r="AD17" s="1360"/>
      <c r="AE17" s="1360"/>
      <c r="AF17" s="1360"/>
      <c r="AG17" s="1361"/>
      <c r="AH17" s="2267"/>
      <c r="AI17" s="2268" t="s">
        <v>65</v>
      </c>
      <c r="AJ17" s="2267"/>
      <c r="AK17" s="2268" t="s">
        <v>65</v>
      </c>
      <c r="AS17" s="1631">
        <v>0</v>
      </c>
    </row>
    <row r="18" ht="14.25" hidden="1" customHeight="1">
      <c r="AD18" s="1360"/>
      <c r="AE18" s="1360"/>
      <c r="AF18" s="1360"/>
      <c r="AG18" s="328" t="str">
        <f>AH17&amp;"-"&amp;AJ17</f>
        <v>-</v>
      </c>
      <c r="AH18" s="2268"/>
      <c r="AI18" s="2268"/>
      <c r="AJ18" s="2268"/>
      <c r="AK18" s="2268"/>
      <c r="AS18" s="1631">
        <v>0</v>
      </c>
    </row>
    <row r="19" ht="14.25" hidden="1" customHeight="1">
      <c r="AS19" s="1631">
        <v>0</v>
      </c>
    </row>
    <row r="20" s="1366" customFormat="1" ht="14.25" hidden="1" customHeight="1">
      <c r="A20" s="1631"/>
      <c r="B20" s="1631"/>
      <c r="C20" s="1631"/>
      <c r="D20" s="1631"/>
      <c r="E20" s="1631"/>
      <c r="F20" s="1631"/>
      <c r="G20" s="1631"/>
      <c r="H20" s="1631"/>
      <c r="I20" s="1631"/>
      <c r="J20" s="1631"/>
      <c r="K20" s="1631"/>
      <c r="L20" s="1939"/>
      <c r="M20" s="1965"/>
      <c r="N20" s="1965"/>
      <c r="O20" s="1345" t="s">
        <v>419</v>
      </c>
      <c r="P20" s="1362"/>
      <c r="Q20" s="1371"/>
      <c r="R20" s="1371"/>
      <c r="S20" s="729"/>
      <c r="Z20" s="1367"/>
      <c r="AB20" s="1367"/>
      <c r="AH20" s="1367"/>
      <c r="AJ20" s="1367"/>
      <c r="AN20" s="1636"/>
      <c r="AO20" s="1636"/>
      <c r="AP20" s="1636"/>
      <c r="AQ20" s="1636"/>
      <c r="AR20" s="1636"/>
      <c r="AS20" s="1366">
        <v>0</v>
      </c>
    </row>
    <row r="21" s="1366" customFormat="1" ht="14.25" hidden="1" customHeight="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r="22" s="1366" customFormat="1" ht="14.25" hidden="1" customHeight="1">
      <c r="A22" s="1631"/>
      <c r="B22" s="1631"/>
      <c r="C22" s="1631"/>
      <c r="D22" s="1631"/>
      <c r="E22" s="1631"/>
      <c r="F22" s="1631"/>
      <c r="G22" s="1631"/>
      <c r="H22" s="1631"/>
      <c r="I22" s="1631"/>
      <c r="J22" s="1631"/>
      <c r="K22" s="1631"/>
      <c r="L22" s="1939"/>
      <c r="M22" s="1965"/>
      <c r="N22" s="1965"/>
      <c r="O22" s="1310" t="s">
        <v>420</v>
      </c>
      <c r="P22" s="1362"/>
      <c r="Q22" s="1371"/>
      <c r="R22" s="1371"/>
      <c r="S22" s="729"/>
      <c r="T22" s="1366" t="s">
        <v>421</v>
      </c>
      <c r="AA22" s="595" t="s">
        <v>422</v>
      </c>
      <c r="AC22" s="595" t="s">
        <v>423</v>
      </c>
      <c r="AD22" s="1366" t="s">
        <v>421</v>
      </c>
      <c r="AI22" s="595" t="s">
        <v>424</v>
      </c>
      <c r="AK22" s="595" t="s">
        <v>423</v>
      </c>
      <c r="AN22" s="1636"/>
      <c r="AO22" s="1636"/>
      <c r="AP22" s="1636"/>
      <c r="AQ22" s="1636"/>
      <c r="AR22" s="1636"/>
      <c r="AS22" s="1366">
        <v>0</v>
      </c>
    </row>
    <row r="23" ht="14.25" hidden="1" customHeight="1">
      <c r="O23" s="1310"/>
      <c r="AS23" s="1631">
        <v>0</v>
      </c>
    </row>
    <row r="24" ht="14.25" hidden="1" customHeight="1">
      <c r="O24" s="1310"/>
      <c r="AS24" s="1631">
        <v>0</v>
      </c>
    </row>
    <row r="25" ht="14.65" customHeight="1">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r="26" ht="14.65" customHeight="1">
      <c r="Q26" s="376"/>
      <c r="R26" s="376"/>
      <c r="S26" s="2248" t="str">
        <f>IF(TEMPLATE_GROUP="P",PT_P_FORM_HEAT_4_NAME_FORM,PT_R_FORM_HEAT_21_NAME_FORM)</f>
        <v xml:space="preserve">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r="27" ht="14.65" customHeight="1">
      <c r="Q27" s="376"/>
      <c r="R27" s="376"/>
      <c r="S27" s="2249" t="str">
        <f>IF(org=0,"Не определено",org)</f>
        <v xml:space="preserve">филиал ПАО "ОГК-2" - Рязанская ГРЭС</v>
      </c>
      <c r="T27" s="2249"/>
      <c r="U27" s="2249"/>
      <c r="V27" s="2249"/>
      <c r="W27" s="2249"/>
      <c r="X27" s="2249"/>
      <c r="Y27" s="2249"/>
      <c r="Z27" s="2249"/>
      <c r="AA27" s="2249"/>
      <c r="AB27" s="2249"/>
      <c r="AC27" s="2249"/>
      <c r="AD27" s="2249"/>
      <c r="AE27" s="2249"/>
      <c r="AF27" s="2249"/>
      <c r="AG27" s="2249"/>
      <c r="AH27" s="2249"/>
      <c r="AI27" s="2249"/>
      <c r="AJ27" s="2249"/>
      <c r="AK27" s="1243"/>
      <c r="AS27" s="1631">
        <v>14</v>
      </c>
    </row>
    <row r="28" ht="14.25" hidden="1" customHeight="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r="29" s="1853" customFormat="1" ht="25.5" hidden="1" customHeight="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r="30" s="1853" customFormat="1" ht="18.75" hidden="1" customHeight="1">
      <c r="A30" s="1248"/>
      <c r="B30" s="1248"/>
      <c r="C30" s="1248"/>
      <c r="D30" s="1248"/>
      <c r="E30" s="1248"/>
      <c r="F30" s="1248"/>
      <c r="G30" s="1248"/>
      <c r="H30" s="1248"/>
      <c r="I30" s="1248"/>
      <c r="J30" s="1248"/>
      <c r="K30" s="1248"/>
      <c r="L30" s="1380"/>
      <c r="M30" s="1248"/>
      <c r="N30" s="1248"/>
      <c r="O30" s="1248"/>
      <c r="S30" s="2250" t="s">
        <v>425</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r="31" s="1853" customFormat="1" ht="18.75" hidden="1" customHeight="1">
      <c r="A31" s="1248"/>
      <c r="B31" s="1248"/>
      <c r="C31" s="1248"/>
      <c r="D31" s="1248"/>
      <c r="E31" s="1248"/>
      <c r="F31" s="1248"/>
      <c r="G31" s="1248"/>
      <c r="H31" s="1248"/>
      <c r="I31" s="1248"/>
      <c r="J31" s="1248"/>
      <c r="K31" s="1248"/>
      <c r="L31" s="1380"/>
      <c r="M31" s="1248"/>
      <c r="N31" s="1248"/>
      <c r="O31" s="1248"/>
      <c r="S31" s="2250" t="s">
        <v>426</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r="32" s="1853" customFormat="1" ht="18.75" hidden="1" customHeight="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r="33" ht="14.25" hidden="1" customHeight="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r="34" s="1853" customFormat="1" ht="18.75" hidden="1" customHeight="1">
      <c r="A34" s="1248"/>
      <c r="B34" s="1248"/>
      <c r="C34" s="1248"/>
      <c r="D34" s="1248"/>
      <c r="E34" s="1248"/>
      <c r="F34" s="1248"/>
      <c r="G34" s="1248"/>
      <c r="H34" s="1248"/>
      <c r="I34" s="1248"/>
      <c r="J34" s="1248"/>
      <c r="K34" s="1248"/>
      <c r="L34" s="1380"/>
      <c r="M34" s="1248"/>
      <c r="N34" s="1248"/>
      <c r="O34" s="1248"/>
      <c r="S34" s="2250" t="s">
        <v>427</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r="35" s="1853" customFormat="1" ht="18.75" hidden="1" customHeight="1">
      <c r="A35" s="1248"/>
      <c r="B35" s="1248"/>
      <c r="C35" s="1248"/>
      <c r="D35" s="1248"/>
      <c r="E35" s="1248"/>
      <c r="F35" s="1248"/>
      <c r="G35" s="1248"/>
      <c r="H35" s="1248"/>
      <c r="I35" s="1248"/>
      <c r="J35" s="1248"/>
      <c r="K35" s="1248"/>
      <c r="L35" s="1380"/>
      <c r="M35" s="1248"/>
      <c r="N35" s="1248"/>
      <c r="O35" s="1248"/>
      <c r="S35" s="2250" t="s">
        <v>428</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r="36" s="1853" customFormat="1" ht="0" customHeight="1">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429</v>
      </c>
      <c r="AD36" s="1635"/>
      <c r="AE36" s="1635"/>
      <c r="AF36" s="1635"/>
      <c r="AG36" s="1635"/>
      <c r="AH36" s="1635"/>
      <c r="AI36" s="1635"/>
      <c r="AJ36" s="1635"/>
      <c r="AK36" s="1642" t="s">
        <v>429</v>
      </c>
      <c r="AN36" s="368"/>
      <c r="AO36" s="368"/>
      <c r="AP36" s="368"/>
      <c r="AQ36" s="368"/>
      <c r="AR36" s="368"/>
      <c r="AS36" s="418">
        <v>0</v>
      </c>
    </row>
    <row r="37" ht="14.65" customHeight="1">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r="38" ht="14.65" customHeight="1">
      <c r="Q38" s="376"/>
      <c r="R38" s="376"/>
      <c r="S38" s="2127" t="s">
        <v>302</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303</v>
      </c>
      <c r="AS38" s="1631">
        <v>14</v>
      </c>
    </row>
    <row r="39" ht="14.65" customHeight="1">
      <c r="Q39" s="376"/>
      <c r="R39" s="376"/>
      <c r="S39" s="2273" t="s">
        <v>87</v>
      </c>
      <c r="T39" s="2209" t="s">
        <v>430</v>
      </c>
      <c r="U39" s="337"/>
      <c r="V39" s="2274" t="s">
        <v>431</v>
      </c>
      <c r="W39" s="2275"/>
      <c r="X39" s="2275"/>
      <c r="Y39" s="2275"/>
      <c r="Z39" s="2275"/>
      <c r="AA39" s="2275"/>
      <c r="AB39" s="2276"/>
      <c r="AC39" s="2277" t="s">
        <v>432</v>
      </c>
      <c r="AD39" s="2274" t="s">
        <v>431</v>
      </c>
      <c r="AE39" s="2275"/>
      <c r="AF39" s="2275"/>
      <c r="AG39" s="2275"/>
      <c r="AH39" s="2275"/>
      <c r="AI39" s="2275"/>
      <c r="AJ39" s="2276"/>
      <c r="AK39" s="2277" t="s">
        <v>433</v>
      </c>
      <c r="AL39" s="2280" t="s">
        <v>434</v>
      </c>
      <c r="AM39" s="2127"/>
      <c r="AS39" s="1631">
        <v>14</v>
      </c>
    </row>
    <row r="40" ht="35.649999999999999" customHeight="1">
      <c r="Q40" s="376"/>
      <c r="R40" s="376"/>
      <c r="S40" s="2273"/>
      <c r="T40" s="2209"/>
      <c r="U40" s="1031"/>
      <c r="V40" s="2260" t="s">
        <v>435</v>
      </c>
      <c r="W40" s="2283" t="s">
        <v>436</v>
      </c>
      <c r="X40" s="2262" t="s">
        <v>437</v>
      </c>
      <c r="Y40" s="2263"/>
      <c r="Z40" s="2262" t="s">
        <v>451</v>
      </c>
      <c r="AA40" s="2269"/>
      <c r="AB40" s="2263"/>
      <c r="AC40" s="2278"/>
      <c r="AD40" s="2260" t="s">
        <v>435</v>
      </c>
      <c r="AE40" s="2283" t="s">
        <v>436</v>
      </c>
      <c r="AF40" s="2262" t="s">
        <v>437</v>
      </c>
      <c r="AG40" s="2263"/>
      <c r="AH40" s="2262" t="s">
        <v>438</v>
      </c>
      <c r="AI40" s="2269"/>
      <c r="AJ40" s="2263"/>
      <c r="AK40" s="2278"/>
      <c r="AL40" s="2281"/>
      <c r="AM40" s="2127"/>
      <c r="AS40" s="1631">
        <v>34</v>
      </c>
    </row>
    <row r="41" ht="35.649999999999999" customHeight="1">
      <c r="A41" s="1266"/>
      <c r="B41" s="1266" t="s">
        <v>139</v>
      </c>
      <c r="C41" s="1266" t="s">
        <v>140</v>
      </c>
      <c r="D41" s="1266" t="s">
        <v>141</v>
      </c>
      <c r="E41" s="1310" t="s">
        <v>439</v>
      </c>
      <c r="F41" s="1310" t="s">
        <v>440</v>
      </c>
      <c r="G41" s="1310" t="s">
        <v>441</v>
      </c>
      <c r="H41" s="1310" t="s">
        <v>442</v>
      </c>
      <c r="I41" s="1310" t="s">
        <v>443</v>
      </c>
      <c r="J41" s="1310" t="s">
        <v>444</v>
      </c>
      <c r="K41" s="1310" t="s">
        <v>445</v>
      </c>
      <c r="L41" s="1310" t="s">
        <v>420</v>
      </c>
      <c r="Q41" s="376"/>
      <c r="R41" s="376"/>
      <c r="S41" s="2273"/>
      <c r="T41" s="2209"/>
      <c r="U41" s="302"/>
      <c r="V41" s="2261"/>
      <c r="W41" s="2284"/>
      <c r="X41" s="1938" t="s">
        <v>446</v>
      </c>
      <c r="Y41" s="1938" t="s">
        <v>447</v>
      </c>
      <c r="Z41" s="1938" t="s">
        <v>448</v>
      </c>
      <c r="AA41" s="2270" t="s">
        <v>449</v>
      </c>
      <c r="AB41" s="2271"/>
      <c r="AC41" s="2279"/>
      <c r="AD41" s="2261"/>
      <c r="AE41" s="2284"/>
      <c r="AF41" s="1938" t="s">
        <v>446</v>
      </c>
      <c r="AG41" s="1938" t="s">
        <v>447</v>
      </c>
      <c r="AH41" s="1938" t="s">
        <v>448</v>
      </c>
      <c r="AI41" s="2270" t="s">
        <v>449</v>
      </c>
      <c r="AJ41" s="2271"/>
      <c r="AK41" s="2279"/>
      <c r="AL41" s="2282"/>
      <c r="AM41" s="2127"/>
      <c r="AS41" s="1631">
        <v>34</v>
      </c>
    </row>
    <row r="42" s="1641" customFormat="1" ht="11.25" hidden="1" customHeight="1">
      <c r="A42" s="1266"/>
      <c r="B42" s="1266"/>
      <c r="C42" s="1266"/>
      <c r="D42" s="1266"/>
      <c r="E42" s="1266"/>
      <c r="F42" s="1266"/>
      <c r="G42" s="1266"/>
      <c r="H42" s="1266"/>
      <c r="I42" s="1266"/>
      <c r="J42" s="1266"/>
      <c r="K42" s="1266"/>
      <c r="L42" s="1310"/>
      <c r="M42" s="1965"/>
      <c r="N42" s="1965"/>
      <c r="O42" s="1965"/>
      <c r="P42" s="1246"/>
      <c r="Q42" s="1247"/>
      <c r="R42" s="1254">
        <v>1</v>
      </c>
      <c r="S42" s="1277" t="s">
        <v>109</v>
      </c>
      <c r="T42" s="1255" t="s">
        <v>110</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r="43" ht="22" customHeight="1">
      <c r="A43" s="1267" t="s">
        <v>214</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127</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 xml:space="preserve">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 xml:space="preserve">Наименование тарифа</v>
      </c>
      <c r="AQ43" s="1624"/>
      <c r="AR43" s="1624"/>
      <c r="AS43" s="1631">
        <v>21</v>
      </c>
    </row>
    <row r="44" ht="22" customHeight="1">
      <c r="A44" s="1267" t="s">
        <v>214</v>
      </c>
      <c r="B44" s="1267" t="s">
        <v>215</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400</v>
      </c>
      <c r="AO44" s="1624"/>
      <c r="AP44" s="1624" t="str">
        <f>IF(T44="","",T44)</f>
        <v xml:space="preserve">Территория действия тарифа</v>
      </c>
      <c r="AQ44" s="1624"/>
      <c r="AR44" s="1624"/>
      <c r="AS44" s="1631">
        <v>21</v>
      </c>
    </row>
    <row r="45" ht="24" customHeight="1">
      <c r="A45" s="1267" t="s">
        <v>214</v>
      </c>
      <c r="B45" s="1267" t="s">
        <v>215</v>
      </c>
      <c r="C45" s="1267" t="s">
        <v>216</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402</v>
      </c>
      <c r="AO45" s="1624"/>
      <c r="AP45" s="1624" t="str">
        <f>IF(T45="","",T45)</f>
        <v xml:space="preserve">Наименование системы теплоснабжения</v>
      </c>
      <c r="AQ45" s="1624"/>
      <c r="AR45" s="1624"/>
      <c r="AS45" s="1631">
        <v>23</v>
      </c>
    </row>
    <row r="46" ht="22" customHeight="1">
      <c r="A46" s="1267" t="s">
        <v>214</v>
      </c>
      <c r="B46" s="1267" t="s">
        <v>215</v>
      </c>
      <c r="C46" s="1267" t="s">
        <v>216</v>
      </c>
      <c r="D46" s="1267" t="s">
        <v>217</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404</v>
      </c>
      <c r="AO46" s="1624"/>
      <c r="AP46" s="1624" t="str">
        <f>IF(T46="","",T46)</f>
        <v xml:space="preserve">Источник тепловой энергии</v>
      </c>
      <c r="AQ46" s="1624"/>
      <c r="AR46" s="1624"/>
      <c r="AS46" s="1631">
        <v>21</v>
      </c>
    </row>
    <row r="47" ht="49.5" customHeight="1">
      <c r="A47" s="1267" t="s">
        <v>214</v>
      </c>
      <c r="B47" s="1267" t="s">
        <v>215</v>
      </c>
      <c r="C47" s="1267" t="s">
        <v>216</v>
      </c>
      <c r="D47" s="1267" t="s">
        <v>217</v>
      </c>
      <c r="E47" s="2290"/>
      <c r="F47" s="2290"/>
      <c r="G47" s="2290"/>
      <c r="H47" s="2290"/>
      <c r="I47" s="2127" t="str">
        <f>S46&amp;".1"</f>
        <v>....1</v>
      </c>
      <c r="J47" s="1267"/>
      <c r="K47" s="1267"/>
      <c r="L47" s="1310" t="s">
        <v>405</v>
      </c>
      <c r="P47" s="2257">
        <v>1</v>
      </c>
      <c r="Q47" s="1954"/>
      <c r="R47" s="356"/>
      <c r="S47" s="1958" t="str">
        <f>$I47</f>
        <v>....1</v>
      </c>
      <c r="T47" s="285" t="s">
        <v>406</v>
      </c>
      <c r="U47" s="300"/>
      <c r="V47" s="2245"/>
      <c r="W47" s="2246"/>
      <c r="X47" s="2246"/>
      <c r="Y47" s="2246"/>
      <c r="Z47" s="2246"/>
      <c r="AA47" s="2246"/>
      <c r="AB47" s="2246"/>
      <c r="AC47" s="2247"/>
      <c r="AD47" s="2245"/>
      <c r="AE47" s="2246"/>
      <c r="AF47" s="2246"/>
      <c r="AG47" s="2246"/>
      <c r="AH47" s="2246"/>
      <c r="AI47" s="2246"/>
      <c r="AJ47" s="2246"/>
      <c r="AK47" s="2246"/>
      <c r="AL47" s="2247"/>
      <c r="AM47" s="1258" t="s">
        <v>407</v>
      </c>
      <c r="AO47" s="1624"/>
      <c r="AP47" s="1624" t="str">
        <f>IF(T47="","",T47)</f>
        <v xml:space="preserve">Схема подключения теплопотребляющей установки к коллектору источника тепловой энергии</v>
      </c>
      <c r="AQ47" s="1624"/>
      <c r="AR47" s="1624"/>
      <c r="AS47" s="1631">
        <v>47</v>
      </c>
    </row>
    <row r="48" ht="22" customHeight="1">
      <c r="A48" s="1267" t="s">
        <v>214</v>
      </c>
      <c r="B48" s="1267" t="s">
        <v>215</v>
      </c>
      <c r="C48" s="1267" t="s">
        <v>216</v>
      </c>
      <c r="D48" s="1267" t="s">
        <v>217</v>
      </c>
      <c r="E48" s="2290"/>
      <c r="F48" s="2290"/>
      <c r="G48" s="2290"/>
      <c r="H48" s="2290"/>
      <c r="I48" s="2101"/>
      <c r="J48" s="2127" t="str">
        <f>I47&amp;".1"</f>
        <v>....1.1</v>
      </c>
      <c r="K48" s="1267"/>
      <c r="L48" s="1310" t="s">
        <v>408</v>
      </c>
      <c r="P48" s="2257"/>
      <c r="Q48" s="2257">
        <v>1</v>
      </c>
      <c r="R48" s="357"/>
      <c r="S48" s="1958" t="str">
        <f>$J48</f>
        <v>....1.1</v>
      </c>
      <c r="T48" s="286" t="s">
        <v>409</v>
      </c>
      <c r="U48" s="300"/>
      <c r="V48" s="2245"/>
      <c r="W48" s="2246"/>
      <c r="X48" s="2246"/>
      <c r="Y48" s="2246"/>
      <c r="Z48" s="2246"/>
      <c r="AA48" s="2246"/>
      <c r="AB48" s="2246"/>
      <c r="AC48" s="2247"/>
      <c r="AD48" s="2245"/>
      <c r="AE48" s="2246"/>
      <c r="AF48" s="2246"/>
      <c r="AG48" s="2246"/>
      <c r="AH48" s="2246"/>
      <c r="AI48" s="2246"/>
      <c r="AJ48" s="2246"/>
      <c r="AK48" s="2246"/>
      <c r="AL48" s="2247"/>
      <c r="AM48" s="1258" t="s">
        <v>410</v>
      </c>
      <c r="AO48" s="1624"/>
      <c r="AP48" s="1624" t="str">
        <f>IF(T48="","",T48)</f>
        <v xml:space="preserve">Группа потребителей</v>
      </c>
      <c r="AQ48" s="1624"/>
      <c r="AR48" s="1624"/>
      <c r="AS48" s="1631">
        <v>21</v>
      </c>
    </row>
    <row r="49" ht="22" customHeight="1">
      <c r="A49" s="1267" t="s">
        <v>214</v>
      </c>
      <c r="B49" s="1267" t="s">
        <v>215</v>
      </c>
      <c r="C49" s="1267" t="s">
        <v>216</v>
      </c>
      <c r="D49" s="1267" t="s">
        <v>217</v>
      </c>
      <c r="E49" s="2290"/>
      <c r="F49" s="2290"/>
      <c r="G49" s="2290"/>
      <c r="H49" s="2290"/>
      <c r="I49" s="2101"/>
      <c r="J49" s="2101"/>
      <c r="K49" s="2127" t="str">
        <f>J48&amp;".1"</f>
        <v>....1.1.1</v>
      </c>
      <c r="L49" s="1310" t="s">
        <v>411</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412</v>
      </c>
      <c r="AN49" s="1636">
        <f>STRCHECKDATE(V50:AL50)</f>
      </c>
      <c r="AO49" s="1624"/>
      <c r="AP49" s="1624" t="str">
        <f>IF(T49="","",T49)</f>
        <v/>
      </c>
      <c r="AQ49" s="1624"/>
      <c r="AR49" s="1624"/>
      <c r="AS49" s="1631">
        <v>21</v>
      </c>
    </row>
    <row r="50" ht="1.05" customHeight="1">
      <c r="A50" s="1267" t="s">
        <v>214</v>
      </c>
      <c r="B50" s="1267" t="s">
        <v>215</v>
      </c>
      <c r="C50" s="1267" t="s">
        <v>216</v>
      </c>
      <c r="D50" s="1267" t="s">
        <v>217</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r="51" ht="11.5" customHeight="1">
      <c r="A51" s="1267" t="s">
        <v>214</v>
      </c>
      <c r="B51" s="1267" t="s">
        <v>215</v>
      </c>
      <c r="C51" s="1267" t="s">
        <v>216</v>
      </c>
      <c r="D51" s="1267" t="s">
        <v>217</v>
      </c>
      <c r="E51" s="2290"/>
      <c r="F51" s="2290"/>
      <c r="G51" s="2290"/>
      <c r="H51" s="2290"/>
      <c r="I51" s="2101"/>
      <c r="J51" s="2127"/>
      <c r="K51" s="1267"/>
      <c r="L51" s="1310"/>
      <c r="P51" s="2257"/>
      <c r="Q51" s="2257"/>
      <c r="R51" s="356"/>
      <c r="S51" s="1278"/>
      <c r="T51" s="288" t="s">
        <v>413</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 xml:space="preserve">Добавить вид теплоносителя (параметры теплоносителя)</v>
      </c>
      <c r="AQ51" s="1624"/>
      <c r="AR51" s="1624"/>
      <c r="AS51" s="1631">
        <v>11</v>
      </c>
    </row>
    <row r="52" ht="11.5" customHeight="1">
      <c r="A52" s="1267" t="s">
        <v>214</v>
      </c>
      <c r="B52" s="1267" t="s">
        <v>215</v>
      </c>
      <c r="C52" s="1267" t="s">
        <v>216</v>
      </c>
      <c r="D52" s="1267" t="s">
        <v>217</v>
      </c>
      <c r="E52" s="2290"/>
      <c r="F52" s="2290"/>
      <c r="G52" s="2290"/>
      <c r="H52" s="2290"/>
      <c r="I52" s="2127"/>
      <c r="J52" s="1267"/>
      <c r="K52" s="1267"/>
      <c r="L52" s="1310"/>
      <c r="P52" s="2257"/>
      <c r="Q52" s="1954"/>
      <c r="R52" s="356"/>
      <c r="S52" s="1278"/>
      <c r="T52" s="287" t="s">
        <v>414</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 xml:space="preserve">Добавить группу потребителей</v>
      </c>
      <c r="AQ52" s="1624"/>
      <c r="AR52" s="1624"/>
      <c r="AS52" s="1631">
        <v>11</v>
      </c>
    </row>
    <row r="53" ht="14.65" customHeight="1">
      <c r="A53" s="1267" t="s">
        <v>214</v>
      </c>
      <c r="B53" s="1267" t="s">
        <v>215</v>
      </c>
      <c r="C53" s="1267" t="s">
        <v>216</v>
      </c>
      <c r="D53" s="1267" t="s">
        <v>217</v>
      </c>
      <c r="E53" s="2290"/>
      <c r="F53" s="2290"/>
      <c r="G53" s="2290"/>
      <c r="H53" s="2289"/>
      <c r="I53" s="1267"/>
      <c r="J53" s="1267"/>
      <c r="K53" s="1267"/>
      <c r="L53" s="1310"/>
      <c r="M53" s="1610"/>
      <c r="N53" s="1610"/>
      <c r="O53" s="1635"/>
      <c r="P53" s="360"/>
      <c r="Q53" s="375"/>
      <c r="R53" s="355"/>
      <c r="S53" s="1278"/>
      <c r="T53" s="365" t="s">
        <v>415</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 xml:space="preserve">Добавить схему подключения</v>
      </c>
      <c r="AQ53" s="1624"/>
      <c r="AR53" s="1624"/>
      <c r="AS53" s="1631">
        <v>14</v>
      </c>
    </row>
    <row r="54" s="1642" customFormat="1" ht="4.2000000000000002" customHeight="1">
      <c r="A54" s="1375" t="s">
        <v>214</v>
      </c>
      <c r="B54" s="1375" t="s">
        <v>215</v>
      </c>
      <c r="C54" s="1375" t="s">
        <v>216</v>
      </c>
      <c r="D54" s="1374"/>
      <c r="E54" s="2290"/>
      <c r="F54" s="2290"/>
      <c r="G54" s="2289"/>
      <c r="H54" s="1374"/>
      <c r="I54" s="1374"/>
      <c r="J54" s="1374"/>
      <c r="K54" s="1374"/>
      <c r="L54" s="1377"/>
      <c r="M54" s="1378"/>
      <c r="N54" s="1378"/>
      <c r="O54" s="351"/>
      <c r="P54" s="1316"/>
      <c r="Q54" s="1317"/>
      <c r="R54" s="1316"/>
      <c r="S54" s="1322"/>
      <c r="T54" s="1325" t="s">
        <v>416</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 xml:space="preserve">Добавить источник для дифференциации</v>
      </c>
      <c r="AQ54" s="1251"/>
      <c r="AR54" s="1251"/>
      <c r="AS54" s="1642">
        <v>4</v>
      </c>
    </row>
    <row r="55" s="1642" customFormat="1" ht="4.2000000000000002" customHeight="1">
      <c r="A55" s="1375" t="s">
        <v>214</v>
      </c>
      <c r="B55" s="1375" t="s">
        <v>215</v>
      </c>
      <c r="C55" s="1374"/>
      <c r="D55" s="1374"/>
      <c r="E55" s="2290"/>
      <c r="F55" s="2289"/>
      <c r="G55" s="1374"/>
      <c r="H55" s="1374"/>
      <c r="I55" s="1374"/>
      <c r="J55" s="1374"/>
      <c r="K55" s="1374"/>
      <c r="L55" s="1377"/>
      <c r="M55" s="1379"/>
      <c r="N55" s="1379"/>
      <c r="O55" s="351"/>
      <c r="P55" s="1316"/>
      <c r="Q55" s="1317"/>
      <c r="R55" s="1316"/>
      <c r="S55" s="1322"/>
      <c r="T55" s="1325" t="s">
        <v>417</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 xml:space="preserve">Добавить централизованную систему для дифференциации</v>
      </c>
      <c r="AQ55" s="1251"/>
      <c r="AR55" s="1251"/>
      <c r="AS55" s="1642">
        <v>4</v>
      </c>
    </row>
    <row r="56" s="1642" customFormat="1" ht="4.2000000000000002" customHeight="1">
      <c r="A56" s="1375" t="s">
        <v>214</v>
      </c>
      <c r="B56" s="1375"/>
      <c r="C56" s="1375"/>
      <c r="D56" s="1375"/>
      <c r="E56" s="2289"/>
      <c r="F56" s="1375"/>
      <c r="G56" s="1375"/>
      <c r="H56" s="1375"/>
      <c r="I56" s="1375"/>
      <c r="J56" s="1375"/>
      <c r="K56" s="1375"/>
      <c r="L56" s="1381"/>
      <c r="M56" s="1379"/>
      <c r="N56" s="1379"/>
      <c r="O56" s="351"/>
      <c r="P56" s="380"/>
      <c r="Q56" s="1344"/>
      <c r="R56" s="380"/>
      <c r="S56" s="1322"/>
      <c r="T56" s="1325" t="s">
        <v>418</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 xml:space="preserve">Добавить территорию для дифференциации</v>
      </c>
      <c r="AQ56" s="1624"/>
      <c r="AR56" s="1624"/>
      <c r="AS56" s="1636">
        <v>4</v>
      </c>
    </row>
    <row r="57" s="1642" customFormat="1" ht="4.2000000000000002" customHeight="1">
      <c r="A57" s="1374"/>
      <c r="B57" s="1374"/>
      <c r="C57" s="1374"/>
      <c r="D57" s="1374"/>
      <c r="E57" s="1375"/>
      <c r="F57" s="1374"/>
      <c r="G57" s="1374"/>
      <c r="H57" s="1374"/>
      <c r="I57" s="1374"/>
      <c r="J57" s="1374"/>
      <c r="K57" s="1374"/>
      <c r="L57" s="1377"/>
      <c r="M57" s="1379"/>
      <c r="N57" s="1379"/>
      <c r="O57" s="351"/>
      <c r="P57" s="1316"/>
      <c r="Q57" s="1317"/>
      <c r="R57" s="1316"/>
      <c r="S57" s="1322"/>
      <c r="T57" s="1325" t="s">
        <v>450</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 xml:space="preserve">Добавить наименование тарифа</v>
      </c>
      <c r="AQ57" s="1251"/>
      <c r="AR57" s="1251"/>
      <c r="AS57" s="1642">
        <v>4</v>
      </c>
    </row>
    <row r="58" ht="11.5" customHeight="1">
      <c r="M58" s="1631"/>
      <c r="N58" s="1631"/>
      <c r="O58" s="1635"/>
      <c r="P58" s="1631"/>
      <c r="Q58" s="1631"/>
      <c r="R58" s="1631"/>
      <c r="S58" s="1631"/>
      <c r="AN58" s="1631"/>
      <c r="AO58" s="1631"/>
      <c r="AP58" s="1631"/>
      <c r="AQ58" s="1631"/>
      <c r="AR58" s="1631"/>
      <c r="AS58" s="1631">
        <v>11</v>
      </c>
    </row>
    <row r="59" ht="28.5" customHeight="1">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r="60" ht="65.25" customHeight="1">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r="61" ht="14.65" customHeight="1">
      <c r="O61" s="1635"/>
      <c r="AS61" s="1631">
        <v>14</v>
      </c>
    </row>
    <row r="62" ht="18.75" customHeight="1">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r="63" ht="18.75" customHeight="1">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r="64" ht="29.25" customHeight="1">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r="65" ht="22.5" hidden="1" customHeight="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autoFilter="0" deleteColumns="0" deleteRows="0" insertColumns="1" insertRows="0" sort="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4">
    <dataValidation sqref="S131123:AM131129 S196659:AM196665 S262195:AM262201 S327731:AM327737 S393267:AM393273 S458803:AM458809 S524339:AM524345 S589875:AM589881 S655411:AM655417 S720947:AM720953 S786483:AM786489 S852019:AM852025 S917555:AM917561 S983091:AM983097 S65587:AM65593" allowBlank="1"/>
    <dataValidation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llowBlank="1" prompt="Выберите дату из календаря (иконка справа от указанной ячейки), либо введите дату непосредственно в ячейку в формате - 'ДД.ММ.ГГГГ'." showErrorMessage="1" showInputMessage="1"/>
    <dataValidation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allowBlank="1" prompt="Для выбора выполните двойной щелчок левой клавиши мыши по соответствующей ячейке." showErrorMessage="1" showInputMessage="1"/>
    <dataValidation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allowBlank="1" promptTitle="checkPeriodRange"/>
  </dataValidations>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x14:dataValidation xr:uid="{00350075-008F-48A0-9B89-004B009600D3}" type="list" allowBlank="1" error="Выберите значение из списка" errorTitle="Ошибка" prompt="Выберите значение из списка" showInputMessage="1">
          <x14:formula1>
            <xm:f>kind_of_cons</xm:f>
          </x14:formula1>
          <xm:sqref>V983088:AL983088 V65584:AL65584 V131120:AL131120 V196656:AL196656 V262192:AL262192 V327728:AL327728 V393264:AL393264 V458800:AL458800 V524336:AL524336 V589872:AL589872 V655408:AL655408 V720944:AL720944 V786480:AL786480 V852016:AL852016 V917552:AL917552</xm:sqref>
        </x14:dataValidation>
        <x14:dataValidation xr:uid="{007E005A-00B2-42BB-8866-0040009E001E}" type="list" allowBlank="1" error="Выберите значение из списка" errorTitle="Ошибка" showErrorMessage="1" showInputMessage="1">
          <x14:formula1>
            <xm:f>kind_of_scheme_in</xm:f>
          </x14:formula1>
          <xm: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xm:sqref>
        </x14:dataValidation>
        <x14:dataValidation xr:uid="{00CF00ED-000B-4112-B04B-0030007E0088}" type="textLength" allowBlank="1" error="Допускается ввод не более 900 символов!" errorTitle="Ошибка" operator="lessThanOrEqual" showErrorMessage="1" showInputMessage="1">
          <x14:formula1>
            <xm:f>900</xm:f>
          </x14:formula1>
          <xm:sqref>AM65579:AM65586 AM131115:AM131122 AM196651:AM196658 AM262187:AM262194 AM327723:AM327730 AM393259:AM393266 AM458795:AM458802 AM524331:AM524338 AM589867:AM589874 AM655403:AM655410 AM720939:AM720946 AM786475:AM786482 AM852011:AM852018 AM917547:AM917554 AM983083:AM983090</xm:sqref>
        </x14:dataValidation>
        <x14:dataValidation xr:uid="{00D8003A-003F-4505-ABF9-003C0068005F}" type="list" allowBlank="1" error="Выберите значение из списка" errorTitle="Ошибка" showErrorMessage="1" showInputMessage="1">
          <x14:formula1>
            <xm:f>kind_of_heat_transfer</xm:f>
          </x14:formula1>
          <xm:sqref>T65585 T131121 T196657 T262193 T327729 T393265 T458801 T524337 T589873 T655409 T720945 T786481 T852017 T917553 T983089</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sheetPr>
  <sheetViews>
    <sheetView showGridLines="0" topLeftCell="A1" zoomScale="90" workbookViewId="0">
      <selection activeCell="A1" sqref="A1"/>
    </sheetView>
  </sheetViews>
  <sheetFormatPr defaultColWidth="10.57421875" defaultRowHeight="14.25" customHeight="1"/>
  <cols>
    <col hidden="1" min="1" max="1" style="1635" width="10.57421875"/>
    <col customWidth="1" hidden="1" min="2" max="2" style="1635" width="11.00390625"/>
    <col hidden="1" min="3" max="3" style="1635" width="10.57421875"/>
    <col customWidth="1" hidden="1" min="4" max="4" style="1635" width="11.8515625"/>
    <col customWidth="1" hidden="1" min="5" max="5" style="1635" width="10.00390625"/>
    <col customWidth="1" hidden="1" min="6" max="6" style="1635" width="8.7109375"/>
    <col customWidth="1" hidden="1" min="7" max="7" style="1635" width="7.57421875"/>
    <col customWidth="1" hidden="1" min="8" max="8" style="1635" width="11.421875"/>
    <col customWidth="1" hidden="1" min="9" max="9" style="1635" width="12.00390625"/>
    <col customWidth="1" hidden="1" min="10" max="10" style="1635" width="9.8515625"/>
    <col customWidth="1" hidden="1" min="11" max="11" style="1635" width="11.421875"/>
    <col customWidth="1" hidden="1" min="12" max="12" style="2125" width="19.140625"/>
    <col customWidth="1" hidden="1" min="13" max="14" style="2397" width="12.28125"/>
    <col customWidth="1" hidden="1" min="15" max="15" style="2397" width="23.421875"/>
    <col customWidth="1" min="16" max="16" style="2397" width="3.00390625"/>
    <col customWidth="1" min="17" max="18" style="344" width="3.00390625"/>
    <col customWidth="1" min="19" max="19" style="2407" width="12.00390625"/>
    <col customWidth="1" min="20" max="20" style="1635" width="31.00390625"/>
    <col customWidth="1" min="21" max="21" style="1635" width="0.140625"/>
    <col customWidth="1" hidden="1" min="22" max="22" style="1635" width="24.7109375"/>
    <col customWidth="1" hidden="1" min="23" max="23" style="1635" width="0.140625"/>
    <col customWidth="1" hidden="1" min="24" max="25" style="1635" width="24.7109375"/>
    <col customWidth="1" hidden="1" min="26" max="26" style="1635" width="11.7109375"/>
    <col customWidth="1" hidden="1" min="27" max="27" style="1635" width="3.7109375"/>
    <col customWidth="1" hidden="1" min="28" max="28" style="1635" width="11.7109375"/>
    <col customWidth="1" hidden="1" min="29" max="29" style="1635" width="8.57421875"/>
    <col customWidth="1" min="30" max="30" style="1635" width="24.7109375"/>
    <col customWidth="1" min="31" max="31" style="1635" width="0.140625"/>
    <col customWidth="1" min="32" max="33" style="1635" width="24.00390625"/>
    <col customWidth="1" min="34" max="34" style="1635" width="11.00390625"/>
    <col customWidth="1" min="35" max="35" style="1635" width="3.7109375"/>
    <col customWidth="1" min="36" max="36" style="1635" width="11.00390625"/>
    <col customWidth="1" hidden="1" min="37" max="37" style="1635" width="8.57421875"/>
    <col customWidth="1" min="38" max="38" style="1635" width="4.00390625"/>
    <col customWidth="1" min="39" max="39" style="1635" width="115.00390625"/>
    <col customWidth="1" min="40" max="44" style="1642" width="10.00390625"/>
    <col hidden="1" min="45" max="45" style="1635" width="10.57421875"/>
  </cols>
  <sheetData>
    <row r="1" ht="22.5" hidden="1" customHeight="1">
      <c r="AS1" s="1631" t="s">
        <v>14</v>
      </c>
    </row>
    <row r="2" ht="21" hidden="1" customHeight="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127</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398</v>
      </c>
      <c r="AO2" s="1624"/>
      <c r="AP2" s="1624" t="str">
        <f>IF(T2="","",T2)</f>
        <v xml:space="preserve">Наименование тарифа</v>
      </c>
      <c r="AQ2" s="1624"/>
      <c r="AR2" s="1624"/>
      <c r="AS2" s="1631">
        <v>0</v>
      </c>
    </row>
    <row r="3" ht="21" hidden="1" customHeight="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400</v>
      </c>
      <c r="AO3" s="1624"/>
      <c r="AP3" s="1624" t="str">
        <f>IF(T3="","",T3)</f>
        <v xml:space="preserve">Территория действия тарифа</v>
      </c>
      <c r="AQ3" s="1624"/>
      <c r="AR3" s="1624"/>
      <c r="AS3" s="1631">
        <v>0</v>
      </c>
    </row>
    <row r="4" ht="23.25" hidden="1" customHeight="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401</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402</v>
      </c>
      <c r="AO4" s="1624"/>
      <c r="AP4" s="1624" t="str">
        <f>IF(T4="","",T4)</f>
        <v xml:space="preserve">Наименование системы теплоснабжения</v>
      </c>
      <c r="AQ4" s="1624"/>
      <c r="AR4" s="1624"/>
      <c r="AS4" s="1631">
        <v>0</v>
      </c>
    </row>
    <row r="5" ht="21" hidden="1" customHeight="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403</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404</v>
      </c>
      <c r="AO5" s="1624"/>
      <c r="AP5" s="1624" t="str">
        <f>IF(T5="","",T5)</f>
        <v xml:space="preserve">Источник тепловой энергии</v>
      </c>
      <c r="AQ5" s="1624"/>
      <c r="AR5" s="1624"/>
      <c r="AS5" s="1631">
        <v>0</v>
      </c>
    </row>
    <row r="6" ht="47.25" hidden="1" customHeight="1">
      <c r="A6" s="1267"/>
      <c r="B6" s="1267"/>
      <c r="C6" s="1267"/>
      <c r="D6" s="1267"/>
      <c r="E6" s="2290"/>
      <c r="F6" s="2290"/>
      <c r="G6" s="2290"/>
      <c r="H6" s="2290"/>
      <c r="I6" s="2127">
        <f>S5&amp;".1"</f>
      </c>
      <c r="J6" s="1267"/>
      <c r="K6" s="1267"/>
      <c r="L6" s="1310" t="s">
        <v>405</v>
      </c>
      <c r="M6" s="1635"/>
      <c r="P6" s="2257">
        <v>1</v>
      </c>
      <c r="Q6" s="1954"/>
      <c r="R6" s="356"/>
      <c r="S6" s="1958">
        <f>$I6</f>
      </c>
      <c r="T6" s="285" t="s">
        <v>406</v>
      </c>
      <c r="U6" s="300"/>
      <c r="V6" s="2245"/>
      <c r="W6" s="2246"/>
      <c r="X6" s="2246"/>
      <c r="Y6" s="2246"/>
      <c r="Z6" s="2246"/>
      <c r="AA6" s="2246"/>
      <c r="AB6" s="2246"/>
      <c r="AC6" s="2247"/>
      <c r="AD6" s="2245"/>
      <c r="AE6" s="2246"/>
      <c r="AF6" s="2246"/>
      <c r="AG6" s="2246"/>
      <c r="AH6" s="2246"/>
      <c r="AI6" s="2246"/>
      <c r="AJ6" s="2246"/>
      <c r="AK6" s="2246"/>
      <c r="AL6" s="2247"/>
      <c r="AM6" s="1258" t="s">
        <v>407</v>
      </c>
      <c r="AO6" s="1624"/>
      <c r="AP6" s="1624" t="str">
        <f>IF(T6="","",T6)</f>
        <v xml:space="preserve">Схема подключения теплопотребляющей установки к коллектору источника тепловой энергии</v>
      </c>
      <c r="AQ6" s="1624"/>
      <c r="AR6" s="1624"/>
      <c r="AS6" s="1631">
        <v>0</v>
      </c>
    </row>
    <row r="7" ht="21" hidden="1" customHeight="1">
      <c r="A7" s="1267"/>
      <c r="B7" s="1267"/>
      <c r="C7" s="1267"/>
      <c r="D7" s="1267"/>
      <c r="E7" s="2290"/>
      <c r="F7" s="2290"/>
      <c r="G7" s="2290"/>
      <c r="H7" s="2290"/>
      <c r="I7" s="2101"/>
      <c r="J7" s="2127">
        <f>I6&amp;".1"</f>
      </c>
      <c r="K7" s="1267"/>
      <c r="L7" s="1310" t="s">
        <v>408</v>
      </c>
      <c r="M7" s="1635"/>
      <c r="N7" s="1631"/>
      <c r="P7" s="2257"/>
      <c r="Q7" s="2257">
        <v>1</v>
      </c>
      <c r="R7" s="357"/>
      <c r="S7" s="1958">
        <f>$J7</f>
      </c>
      <c r="T7" s="286" t="s">
        <v>409</v>
      </c>
      <c r="U7" s="300"/>
      <c r="V7" s="2245"/>
      <c r="W7" s="2246"/>
      <c r="X7" s="2246"/>
      <c r="Y7" s="2246"/>
      <c r="Z7" s="2246"/>
      <c r="AA7" s="2246"/>
      <c r="AB7" s="2246"/>
      <c r="AC7" s="2247"/>
      <c r="AD7" s="2245"/>
      <c r="AE7" s="2246"/>
      <c r="AF7" s="2246"/>
      <c r="AG7" s="2246"/>
      <c r="AH7" s="2246"/>
      <c r="AI7" s="2246"/>
      <c r="AJ7" s="2246"/>
      <c r="AK7" s="2246"/>
      <c r="AL7" s="2247"/>
      <c r="AM7" s="1258" t="s">
        <v>410</v>
      </c>
      <c r="AO7" s="1624"/>
      <c r="AP7" s="1624" t="str">
        <f>IF(T7="","",T7)</f>
        <v xml:space="preserve">Группа потребителей</v>
      </c>
      <c r="AQ7" s="1624"/>
      <c r="AR7" s="1624"/>
      <c r="AS7" s="1631">
        <v>0</v>
      </c>
    </row>
    <row r="8" ht="21" hidden="1" customHeight="1">
      <c r="A8" s="1267"/>
      <c r="B8" s="1267"/>
      <c r="C8" s="1267"/>
      <c r="D8" s="1267"/>
      <c r="E8" s="2290"/>
      <c r="F8" s="2290"/>
      <c r="G8" s="2290"/>
      <c r="H8" s="2290"/>
      <c r="I8" s="2101"/>
      <c r="J8" s="2101"/>
      <c r="K8" s="2127">
        <f>J7&amp;".1"</f>
      </c>
      <c r="L8" s="1310" t="s">
        <v>411</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412</v>
      </c>
      <c r="AN8" s="1636">
        <f>STRCHECKDATE(V9:AL9)</f>
      </c>
      <c r="AO8" s="1624"/>
      <c r="AP8" s="1624" t="str">
        <f>IF(T8="","",T8)</f>
        <v/>
      </c>
      <c r="AQ8" s="1624"/>
      <c r="AR8" s="1624"/>
      <c r="AS8" s="1631">
        <v>0</v>
      </c>
    </row>
    <row r="9" ht="0.75" hidden="1" customHeight="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r="10" ht="15" hidden="1" customHeight="1">
      <c r="A10" s="1267"/>
      <c r="B10" s="1267"/>
      <c r="C10" s="1267"/>
      <c r="D10" s="1267"/>
      <c r="E10" s="2290"/>
      <c r="F10" s="2290"/>
      <c r="G10" s="2290"/>
      <c r="H10" s="2290"/>
      <c r="I10" s="2101"/>
      <c r="J10" s="2127"/>
      <c r="K10" s="1267"/>
      <c r="L10" s="1310"/>
      <c r="M10" s="1635"/>
      <c r="N10" s="1631"/>
      <c r="P10" s="2257"/>
      <c r="Q10" s="2257"/>
      <c r="R10" s="356"/>
      <c r="S10" s="1278"/>
      <c r="T10" s="288" t="s">
        <v>413</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 xml:space="preserve">Добавить вид теплоносителя (параметры теплоносителя)</v>
      </c>
      <c r="AQ10" s="1624"/>
      <c r="AR10" s="1624"/>
      <c r="AS10" s="1631">
        <v>0</v>
      </c>
    </row>
    <row r="11" ht="15" hidden="1" customHeight="1">
      <c r="A11" s="1267"/>
      <c r="B11" s="1267"/>
      <c r="C11" s="1267"/>
      <c r="D11" s="1267"/>
      <c r="E11" s="2290"/>
      <c r="F11" s="2290"/>
      <c r="G11" s="2290"/>
      <c r="H11" s="2290"/>
      <c r="I11" s="2127"/>
      <c r="J11" s="1267"/>
      <c r="K11" s="1267"/>
      <c r="L11" s="1310"/>
      <c r="M11" s="1635"/>
      <c r="P11" s="2257"/>
      <c r="Q11" s="1954"/>
      <c r="R11" s="356"/>
      <c r="S11" s="1278"/>
      <c r="T11" s="287" t="s">
        <v>414</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 xml:space="preserve">Добавить группу потребителей</v>
      </c>
      <c r="AQ11" s="1624"/>
      <c r="AR11" s="1624"/>
      <c r="AS11" s="1631">
        <v>0</v>
      </c>
    </row>
    <row r="12" ht="14.25" hidden="1" customHeight="1">
      <c r="A12" s="1267"/>
      <c r="B12" s="1267"/>
      <c r="C12" s="1267"/>
      <c r="D12" s="1267"/>
      <c r="E12" s="2290"/>
      <c r="F12" s="2290"/>
      <c r="G12" s="2290"/>
      <c r="H12" s="2289"/>
      <c r="I12" s="1267"/>
      <c r="J12" s="1267"/>
      <c r="K12" s="1267"/>
      <c r="L12" s="1310"/>
      <c r="M12" s="1610"/>
      <c r="N12" s="1610"/>
      <c r="O12" s="1635"/>
      <c r="P12" s="360"/>
      <c r="Q12" s="375"/>
      <c r="R12" s="355"/>
      <c r="S12" s="1278"/>
      <c r="T12" s="365" t="s">
        <v>415</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 xml:space="preserve">Добавить схему подключения</v>
      </c>
      <c r="AQ12" s="1624"/>
      <c r="AR12" s="1624"/>
      <c r="AS12" s="1631">
        <v>0</v>
      </c>
    </row>
    <row r="13" s="1642" customFormat="1" ht="0.75" hidden="1" customHeight="1">
      <c r="A13" s="1974"/>
      <c r="B13" s="1974"/>
      <c r="C13" s="1974"/>
      <c r="D13" s="1974"/>
      <c r="E13" s="2290"/>
      <c r="F13" s="2290"/>
      <c r="G13" s="2289"/>
      <c r="H13" s="1974"/>
      <c r="I13" s="1974"/>
      <c r="J13" s="1974"/>
      <c r="K13" s="1974"/>
      <c r="L13" s="1380"/>
      <c r="M13" s="1610"/>
      <c r="N13" s="1610"/>
      <c r="O13" s="1635"/>
      <c r="P13" s="1316"/>
      <c r="Q13" s="1317"/>
      <c r="R13" s="1316"/>
      <c r="S13" s="1318"/>
      <c r="T13" s="1319" t="s">
        <v>416</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 xml:space="preserve">Добавить источник для дифференциации</v>
      </c>
      <c r="AQ13" s="1251"/>
      <c r="AR13" s="1251"/>
      <c r="AS13" s="1642">
        <v>0</v>
      </c>
    </row>
    <row r="14" s="1642" customFormat="1" ht="0.75" hidden="1" customHeight="1">
      <c r="A14" s="1974"/>
      <c r="B14" s="1974"/>
      <c r="C14" s="1974"/>
      <c r="D14" s="1974"/>
      <c r="E14" s="2290"/>
      <c r="F14" s="2289"/>
      <c r="G14" s="1974"/>
      <c r="H14" s="1974"/>
      <c r="I14" s="1974"/>
      <c r="J14" s="1974"/>
      <c r="K14" s="1974"/>
      <c r="L14" s="1380"/>
      <c r="M14" s="1975"/>
      <c r="N14" s="1975"/>
      <c r="O14" s="1635"/>
      <c r="P14" s="1316"/>
      <c r="Q14" s="1317"/>
      <c r="R14" s="1316"/>
      <c r="S14" s="1322"/>
      <c r="T14" s="1323" t="s">
        <v>417</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 xml:space="preserve">Добавить централизованную систему для дифференциации</v>
      </c>
      <c r="AQ14" s="1251"/>
      <c r="AR14" s="1251"/>
      <c r="AS14" s="1642">
        <v>0</v>
      </c>
    </row>
    <row r="15" s="1642" customFormat="1" ht="0.75" hidden="1" customHeight="1">
      <c r="A15" s="1974"/>
      <c r="B15" s="1974"/>
      <c r="C15" s="1974"/>
      <c r="D15" s="1974"/>
      <c r="E15" s="2289"/>
      <c r="F15" s="1974"/>
      <c r="G15" s="1974"/>
      <c r="H15" s="1974"/>
      <c r="I15" s="1974"/>
      <c r="J15" s="1974"/>
      <c r="K15" s="1974"/>
      <c r="L15" s="1380"/>
      <c r="M15" s="1975"/>
      <c r="N15" s="1975"/>
      <c r="O15" s="1635"/>
      <c r="P15" s="1316"/>
      <c r="Q15" s="1317"/>
      <c r="R15" s="1316"/>
      <c r="S15" s="1322"/>
      <c r="T15" s="1325" t="s">
        <v>418</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 xml:space="preserve">Добавить территорию для дифференциации</v>
      </c>
      <c r="AQ15" s="1251"/>
      <c r="AR15" s="1251"/>
      <c r="AS15" s="1642">
        <v>0</v>
      </c>
    </row>
    <row r="16" ht="14.25" hidden="1" customHeight="1">
      <c r="AS16" s="1631">
        <v>0</v>
      </c>
    </row>
    <row r="17" ht="14.25" hidden="1" customHeight="1">
      <c r="AD17" s="1360"/>
      <c r="AE17" s="1360"/>
      <c r="AF17" s="1360"/>
      <c r="AG17" s="1361"/>
      <c r="AH17" s="2267"/>
      <c r="AI17" s="2268" t="s">
        <v>65</v>
      </c>
      <c r="AJ17" s="2267"/>
      <c r="AK17" s="2268" t="s">
        <v>65</v>
      </c>
      <c r="AS17" s="1631">
        <v>0</v>
      </c>
    </row>
    <row r="18" ht="14.25" hidden="1" customHeight="1">
      <c r="AD18" s="1360"/>
      <c r="AE18" s="1360"/>
      <c r="AF18" s="1360"/>
      <c r="AG18" s="328" t="str">
        <f>AH17&amp;"-"&amp;AJ17</f>
        <v>-</v>
      </c>
      <c r="AH18" s="2268"/>
      <c r="AI18" s="2268"/>
      <c r="AJ18" s="2268"/>
      <c r="AK18" s="2268"/>
      <c r="AS18" s="1631">
        <v>0</v>
      </c>
    </row>
    <row r="19" ht="14.25" hidden="1" customHeight="1">
      <c r="AS19" s="1631">
        <v>0</v>
      </c>
    </row>
    <row r="20" s="1366" customFormat="1" ht="14.25" hidden="1" customHeight="1">
      <c r="A20" s="1631"/>
      <c r="B20" s="1631"/>
      <c r="C20" s="1631"/>
      <c r="D20" s="1631"/>
      <c r="E20" s="1631"/>
      <c r="F20" s="1631"/>
      <c r="G20" s="1631"/>
      <c r="H20" s="1631"/>
      <c r="I20" s="1631"/>
      <c r="J20" s="1631"/>
      <c r="K20" s="1631"/>
      <c r="L20" s="1939"/>
      <c r="M20" s="1965"/>
      <c r="N20" s="1965"/>
      <c r="O20" s="1345" t="s">
        <v>419</v>
      </c>
      <c r="P20" s="1362"/>
      <c r="Q20" s="1371"/>
      <c r="R20" s="1371"/>
      <c r="S20" s="729"/>
      <c r="Z20" s="1367"/>
      <c r="AB20" s="1367"/>
      <c r="AH20" s="1367"/>
      <c r="AJ20" s="1367"/>
      <c r="AN20" s="1636"/>
      <c r="AO20" s="1636"/>
      <c r="AP20" s="1636"/>
      <c r="AQ20" s="1636"/>
      <c r="AR20" s="1636"/>
      <c r="AS20" s="1366">
        <v>0</v>
      </c>
    </row>
    <row r="21" s="1366" customFormat="1" ht="14.25" hidden="1" customHeight="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r="22" s="1366" customFormat="1" ht="14.25" hidden="1" customHeight="1">
      <c r="A22" s="1631"/>
      <c r="B22" s="1631"/>
      <c r="C22" s="1631"/>
      <c r="D22" s="1631"/>
      <c r="E22" s="1631"/>
      <c r="F22" s="1631"/>
      <c r="G22" s="1631"/>
      <c r="H22" s="1631"/>
      <c r="I22" s="1631"/>
      <c r="J22" s="1631"/>
      <c r="K22" s="1631"/>
      <c r="L22" s="1939"/>
      <c r="M22" s="1965"/>
      <c r="N22" s="1965"/>
      <c r="O22" s="1310" t="s">
        <v>420</v>
      </c>
      <c r="P22" s="1362"/>
      <c r="Q22" s="1371"/>
      <c r="R22" s="1371"/>
      <c r="S22" s="729"/>
      <c r="T22" s="1366" t="s">
        <v>421</v>
      </c>
      <c r="AA22" s="595" t="s">
        <v>422</v>
      </c>
      <c r="AC22" s="595" t="s">
        <v>423</v>
      </c>
      <c r="AD22" s="1366" t="s">
        <v>421</v>
      </c>
      <c r="AI22" s="595" t="s">
        <v>424</v>
      </c>
      <c r="AK22" s="595" t="s">
        <v>423</v>
      </c>
      <c r="AN22" s="1636"/>
      <c r="AO22" s="1636"/>
      <c r="AP22" s="1636"/>
      <c r="AQ22" s="1636"/>
      <c r="AR22" s="1636"/>
      <c r="AS22" s="1366">
        <v>0</v>
      </c>
    </row>
    <row r="23" ht="14.25" hidden="1" customHeight="1">
      <c r="O23" s="1310"/>
      <c r="AS23" s="1631">
        <v>0</v>
      </c>
    </row>
    <row r="24" ht="14.25" hidden="1" customHeight="1">
      <c r="O24" s="1310"/>
      <c r="AS24" s="1631">
        <v>0</v>
      </c>
    </row>
    <row r="25" ht="14.65" customHeight="1">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r="26" ht="14.65" customHeight="1">
      <c r="Q26" s="376"/>
      <c r="R26" s="376"/>
      <c r="S26" s="2248" t="str">
        <f>IF(TEMPLATE_GROUP="P",PT_P_FORM_HEAT_4_NAME_FORM,PT_R_FORM_HEAT_21_NAME_FORM)</f>
        <v xml:space="preserve">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r="27" ht="14.65" customHeight="1">
      <c r="Q27" s="376"/>
      <c r="R27" s="376"/>
      <c r="S27" s="2249" t="str">
        <f>IF(org=0,"Не определено",org)</f>
        <v xml:space="preserve">филиал ПАО "ОГК-2" - Рязанская ГРЭС</v>
      </c>
      <c r="T27" s="2249"/>
      <c r="U27" s="2249"/>
      <c r="V27" s="2249"/>
      <c r="W27" s="2249"/>
      <c r="X27" s="2249"/>
      <c r="Y27" s="2249"/>
      <c r="Z27" s="2249"/>
      <c r="AA27" s="2249"/>
      <c r="AB27" s="2249"/>
      <c r="AC27" s="2249"/>
      <c r="AD27" s="2249"/>
      <c r="AE27" s="2249"/>
      <c r="AF27" s="2249"/>
      <c r="AG27" s="2249"/>
      <c r="AH27" s="2249"/>
      <c r="AI27" s="2249"/>
      <c r="AJ27" s="2249"/>
      <c r="AK27" s="1243"/>
      <c r="AS27" s="1631">
        <v>14</v>
      </c>
    </row>
    <row r="28" ht="14.25" hidden="1" customHeight="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r="29" s="1853" customFormat="1" ht="25.5" hidden="1" customHeight="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r="30" s="1853" customFormat="1" ht="18.75" hidden="1" customHeight="1">
      <c r="A30" s="1248"/>
      <c r="B30" s="1248"/>
      <c r="C30" s="1248"/>
      <c r="D30" s="1248"/>
      <c r="E30" s="1248"/>
      <c r="F30" s="1248"/>
      <c r="G30" s="1248"/>
      <c r="H30" s="1248"/>
      <c r="I30" s="1248"/>
      <c r="J30" s="1248"/>
      <c r="K30" s="1248"/>
      <c r="L30" s="1380"/>
      <c r="M30" s="1248"/>
      <c r="N30" s="1248"/>
      <c r="O30" s="1248"/>
      <c r="S30" s="2250" t="s">
        <v>425</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r="31" s="1853" customFormat="1" ht="18.75" hidden="1" customHeight="1">
      <c r="A31" s="1248"/>
      <c r="B31" s="1248"/>
      <c r="C31" s="1248"/>
      <c r="D31" s="1248"/>
      <c r="E31" s="1248"/>
      <c r="F31" s="1248"/>
      <c r="G31" s="1248"/>
      <c r="H31" s="1248"/>
      <c r="I31" s="1248"/>
      <c r="J31" s="1248"/>
      <c r="K31" s="1248"/>
      <c r="L31" s="1380"/>
      <c r="M31" s="1248"/>
      <c r="N31" s="1248"/>
      <c r="O31" s="1248"/>
      <c r="S31" s="2250" t="s">
        <v>426</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r="32" s="1853" customFormat="1" ht="18.75" hidden="1" customHeight="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r="33" ht="14.25" hidden="1" customHeight="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r="34" s="1853" customFormat="1" ht="18.75" hidden="1" customHeight="1">
      <c r="A34" s="1248"/>
      <c r="B34" s="1248"/>
      <c r="C34" s="1248"/>
      <c r="D34" s="1248"/>
      <c r="E34" s="1248"/>
      <c r="F34" s="1248"/>
      <c r="G34" s="1248"/>
      <c r="H34" s="1248"/>
      <c r="I34" s="1248"/>
      <c r="J34" s="1248"/>
      <c r="K34" s="1248"/>
      <c r="L34" s="1380"/>
      <c r="M34" s="1248"/>
      <c r="N34" s="1248"/>
      <c r="O34" s="1248"/>
      <c r="S34" s="2250" t="s">
        <v>427</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r="35" s="1853" customFormat="1" ht="18.75" hidden="1" customHeight="1">
      <c r="A35" s="1248"/>
      <c r="B35" s="1248"/>
      <c r="C35" s="1248"/>
      <c r="D35" s="1248"/>
      <c r="E35" s="1248"/>
      <c r="F35" s="1248"/>
      <c r="G35" s="1248"/>
      <c r="H35" s="1248"/>
      <c r="I35" s="1248"/>
      <c r="J35" s="1248"/>
      <c r="K35" s="1248"/>
      <c r="L35" s="1380"/>
      <c r="M35" s="1248"/>
      <c r="N35" s="1248"/>
      <c r="O35" s="1248"/>
      <c r="S35" s="2250" t="s">
        <v>428</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r="36" s="1853" customFormat="1" ht="0" customHeight="1">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429</v>
      </c>
      <c r="AD36" s="1635"/>
      <c r="AE36" s="1635"/>
      <c r="AF36" s="1635"/>
      <c r="AG36" s="1635"/>
      <c r="AH36" s="1635"/>
      <c r="AI36" s="1635"/>
      <c r="AJ36" s="1635"/>
      <c r="AK36" s="1642" t="s">
        <v>429</v>
      </c>
      <c r="AN36" s="368"/>
      <c r="AO36" s="368"/>
      <c r="AP36" s="368"/>
      <c r="AQ36" s="368"/>
      <c r="AR36" s="368"/>
      <c r="AS36" s="418">
        <v>0</v>
      </c>
    </row>
    <row r="37" ht="14.65" customHeight="1">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r="38" ht="14.65" customHeight="1">
      <c r="Q38" s="376"/>
      <c r="R38" s="376"/>
      <c r="S38" s="2127" t="s">
        <v>302</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303</v>
      </c>
      <c r="AS38" s="1631">
        <v>14</v>
      </c>
    </row>
    <row r="39" ht="14.65" customHeight="1">
      <c r="Q39" s="376"/>
      <c r="R39" s="376"/>
      <c r="S39" s="2273" t="s">
        <v>87</v>
      </c>
      <c r="T39" s="2209" t="s">
        <v>430</v>
      </c>
      <c r="U39" s="337"/>
      <c r="V39" s="2274" t="s">
        <v>431</v>
      </c>
      <c r="W39" s="2275"/>
      <c r="X39" s="2275"/>
      <c r="Y39" s="2275"/>
      <c r="Z39" s="2275"/>
      <c r="AA39" s="2275"/>
      <c r="AB39" s="2276"/>
      <c r="AC39" s="2277" t="s">
        <v>432</v>
      </c>
      <c r="AD39" s="2274" t="s">
        <v>431</v>
      </c>
      <c r="AE39" s="2275"/>
      <c r="AF39" s="2275"/>
      <c r="AG39" s="2275"/>
      <c r="AH39" s="2275"/>
      <c r="AI39" s="2275"/>
      <c r="AJ39" s="2276"/>
      <c r="AK39" s="2277" t="s">
        <v>433</v>
      </c>
      <c r="AL39" s="2280" t="s">
        <v>434</v>
      </c>
      <c r="AM39" s="2127"/>
      <c r="AS39" s="1631">
        <v>14</v>
      </c>
    </row>
    <row r="40" ht="35.649999999999999" customHeight="1">
      <c r="Q40" s="376"/>
      <c r="R40" s="376"/>
      <c r="S40" s="2273"/>
      <c r="T40" s="2209"/>
      <c r="U40" s="1031"/>
      <c r="V40" s="2260" t="s">
        <v>435</v>
      </c>
      <c r="W40" s="2283" t="s">
        <v>436</v>
      </c>
      <c r="X40" s="2262" t="s">
        <v>437</v>
      </c>
      <c r="Y40" s="2263"/>
      <c r="Z40" s="2262" t="s">
        <v>451</v>
      </c>
      <c r="AA40" s="2269"/>
      <c r="AB40" s="2263"/>
      <c r="AC40" s="2278"/>
      <c r="AD40" s="2260" t="s">
        <v>435</v>
      </c>
      <c r="AE40" s="2283" t="s">
        <v>436</v>
      </c>
      <c r="AF40" s="2262" t="s">
        <v>437</v>
      </c>
      <c r="AG40" s="2263"/>
      <c r="AH40" s="2262" t="s">
        <v>438</v>
      </c>
      <c r="AI40" s="2269"/>
      <c r="AJ40" s="2263"/>
      <c r="AK40" s="2278"/>
      <c r="AL40" s="2281"/>
      <c r="AM40" s="2127"/>
      <c r="AS40" s="1631">
        <v>34</v>
      </c>
    </row>
    <row r="41" ht="35.649999999999999" customHeight="1">
      <c r="A41" s="1266"/>
      <c r="B41" s="1266" t="s">
        <v>139</v>
      </c>
      <c r="C41" s="1266" t="s">
        <v>140</v>
      </c>
      <c r="D41" s="1266" t="s">
        <v>141</v>
      </c>
      <c r="E41" s="1310" t="s">
        <v>439</v>
      </c>
      <c r="F41" s="1310" t="s">
        <v>440</v>
      </c>
      <c r="G41" s="1310" t="s">
        <v>441</v>
      </c>
      <c r="H41" s="1310" t="s">
        <v>442</v>
      </c>
      <c r="I41" s="1310" t="s">
        <v>443</v>
      </c>
      <c r="J41" s="1310" t="s">
        <v>444</v>
      </c>
      <c r="K41" s="1310" t="s">
        <v>445</v>
      </c>
      <c r="L41" s="1310" t="s">
        <v>420</v>
      </c>
      <c r="Q41" s="376"/>
      <c r="R41" s="376"/>
      <c r="S41" s="2273"/>
      <c r="T41" s="2209"/>
      <c r="U41" s="302"/>
      <c r="V41" s="2261"/>
      <c r="W41" s="2284"/>
      <c r="X41" s="1938" t="s">
        <v>446</v>
      </c>
      <c r="Y41" s="1938" t="s">
        <v>447</v>
      </c>
      <c r="Z41" s="1938" t="s">
        <v>448</v>
      </c>
      <c r="AA41" s="2270" t="s">
        <v>449</v>
      </c>
      <c r="AB41" s="2271"/>
      <c r="AC41" s="2279"/>
      <c r="AD41" s="2261"/>
      <c r="AE41" s="2284"/>
      <c r="AF41" s="1938" t="s">
        <v>446</v>
      </c>
      <c r="AG41" s="1938" t="s">
        <v>447</v>
      </c>
      <c r="AH41" s="1938" t="s">
        <v>448</v>
      </c>
      <c r="AI41" s="2270" t="s">
        <v>449</v>
      </c>
      <c r="AJ41" s="2271"/>
      <c r="AK41" s="2279"/>
      <c r="AL41" s="2282"/>
      <c r="AM41" s="2127"/>
      <c r="AS41" s="1631">
        <v>34</v>
      </c>
    </row>
    <row r="42" s="1641" customFormat="1" ht="11.25" hidden="1" customHeight="1">
      <c r="A42" s="1266"/>
      <c r="B42" s="1266"/>
      <c r="C42" s="1266"/>
      <c r="D42" s="1266"/>
      <c r="E42" s="1266"/>
      <c r="F42" s="1266"/>
      <c r="G42" s="1266"/>
      <c r="H42" s="1266"/>
      <c r="I42" s="1266"/>
      <c r="J42" s="1266"/>
      <c r="K42" s="1266"/>
      <c r="L42" s="1310"/>
      <c r="M42" s="1965"/>
      <c r="N42" s="1965"/>
      <c r="O42" s="1965"/>
      <c r="P42" s="1246"/>
      <c r="Q42" s="1247"/>
      <c r="R42" s="1254">
        <v>1</v>
      </c>
      <c r="S42" s="1277" t="s">
        <v>109</v>
      </c>
      <c r="T42" s="1255" t="s">
        <v>110</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r="43" ht="22" customHeight="1">
      <c r="A43" s="1267" t="s">
        <v>214</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127</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 xml:space="preserve">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 xml:space="preserve">Наименование тарифа</v>
      </c>
      <c r="AQ43" s="1624"/>
      <c r="AR43" s="1624"/>
      <c r="AS43" s="1631">
        <v>21</v>
      </c>
    </row>
    <row r="44" ht="22" customHeight="1">
      <c r="A44" s="1267" t="s">
        <v>214</v>
      </c>
      <c r="B44" s="1267" t="s">
        <v>215</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400</v>
      </c>
      <c r="AO44" s="1624"/>
      <c r="AP44" s="1624" t="str">
        <f>IF(T44="","",T44)</f>
        <v xml:space="preserve">Территория действия тарифа</v>
      </c>
      <c r="AQ44" s="1624"/>
      <c r="AR44" s="1624"/>
      <c r="AS44" s="1631">
        <v>21</v>
      </c>
    </row>
    <row r="45" ht="24" customHeight="1">
      <c r="A45" s="1267" t="s">
        <v>214</v>
      </c>
      <c r="B45" s="1267" t="s">
        <v>215</v>
      </c>
      <c r="C45" s="1267" t="s">
        <v>216</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402</v>
      </c>
      <c r="AO45" s="1624"/>
      <c r="AP45" s="1624" t="str">
        <f>IF(T45="","",T45)</f>
        <v xml:space="preserve">Наименование системы теплоснабжения</v>
      </c>
      <c r="AQ45" s="1624"/>
      <c r="AR45" s="1624"/>
      <c r="AS45" s="1631">
        <v>23</v>
      </c>
    </row>
    <row r="46" ht="22" customHeight="1">
      <c r="A46" s="1267" t="s">
        <v>214</v>
      </c>
      <c r="B46" s="1267" t="s">
        <v>215</v>
      </c>
      <c r="C46" s="1267" t="s">
        <v>216</v>
      </c>
      <c r="D46" s="1267" t="s">
        <v>217</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404</v>
      </c>
      <c r="AO46" s="1624"/>
      <c r="AP46" s="1624" t="str">
        <f>IF(T46="","",T46)</f>
        <v xml:space="preserve">Источник тепловой энергии</v>
      </c>
      <c r="AQ46" s="1624"/>
      <c r="AR46" s="1624"/>
      <c r="AS46" s="1631">
        <v>21</v>
      </c>
    </row>
    <row r="47" ht="49.5" customHeight="1">
      <c r="A47" s="1267" t="s">
        <v>214</v>
      </c>
      <c r="B47" s="1267" t="s">
        <v>215</v>
      </c>
      <c r="C47" s="1267" t="s">
        <v>216</v>
      </c>
      <c r="D47" s="1267" t="s">
        <v>217</v>
      </c>
      <c r="E47" s="2290"/>
      <c r="F47" s="2290"/>
      <c r="G47" s="2290"/>
      <c r="H47" s="2290"/>
      <c r="I47" s="2127" t="str">
        <f>S46&amp;".1"</f>
        <v>....1</v>
      </c>
      <c r="J47" s="1267"/>
      <c r="K47" s="1267"/>
      <c r="L47" s="1310" t="s">
        <v>405</v>
      </c>
      <c r="P47" s="2257">
        <v>1</v>
      </c>
      <c r="Q47" s="1954"/>
      <c r="R47" s="356"/>
      <c r="S47" s="1958" t="str">
        <f>$I47</f>
        <v>....1</v>
      </c>
      <c r="T47" s="285" t="s">
        <v>406</v>
      </c>
      <c r="U47" s="300"/>
      <c r="V47" s="2245"/>
      <c r="W47" s="2246"/>
      <c r="X47" s="2246"/>
      <c r="Y47" s="2246"/>
      <c r="Z47" s="2246"/>
      <c r="AA47" s="2246"/>
      <c r="AB47" s="2246"/>
      <c r="AC47" s="2247"/>
      <c r="AD47" s="2245"/>
      <c r="AE47" s="2246"/>
      <c r="AF47" s="2246"/>
      <c r="AG47" s="2246"/>
      <c r="AH47" s="2246"/>
      <c r="AI47" s="2246"/>
      <c r="AJ47" s="2246"/>
      <c r="AK47" s="2246"/>
      <c r="AL47" s="2247"/>
      <c r="AM47" s="1258" t="s">
        <v>407</v>
      </c>
      <c r="AO47" s="1624"/>
      <c r="AP47" s="1624" t="str">
        <f>IF(T47="","",T47)</f>
        <v xml:space="preserve">Схема подключения теплопотребляющей установки к коллектору источника тепловой энергии</v>
      </c>
      <c r="AQ47" s="1624"/>
      <c r="AR47" s="1624"/>
      <c r="AS47" s="1631">
        <v>47</v>
      </c>
    </row>
    <row r="48" ht="22" customHeight="1">
      <c r="A48" s="1267" t="s">
        <v>214</v>
      </c>
      <c r="B48" s="1267" t="s">
        <v>215</v>
      </c>
      <c r="C48" s="1267" t="s">
        <v>216</v>
      </c>
      <c r="D48" s="1267" t="s">
        <v>217</v>
      </c>
      <c r="E48" s="2290"/>
      <c r="F48" s="2290"/>
      <c r="G48" s="2290"/>
      <c r="H48" s="2290"/>
      <c r="I48" s="2101"/>
      <c r="J48" s="2127" t="str">
        <f>I47&amp;".1"</f>
        <v>....1.1</v>
      </c>
      <c r="K48" s="1267"/>
      <c r="L48" s="1310" t="s">
        <v>408</v>
      </c>
      <c r="P48" s="2257"/>
      <c r="Q48" s="2257">
        <v>1</v>
      </c>
      <c r="R48" s="357"/>
      <c r="S48" s="1958" t="str">
        <f>$J48</f>
        <v>....1.1</v>
      </c>
      <c r="T48" s="286" t="s">
        <v>409</v>
      </c>
      <c r="U48" s="300"/>
      <c r="V48" s="2245"/>
      <c r="W48" s="2246"/>
      <c r="X48" s="2246"/>
      <c r="Y48" s="2246"/>
      <c r="Z48" s="2246"/>
      <c r="AA48" s="2246"/>
      <c r="AB48" s="2246"/>
      <c r="AC48" s="2247"/>
      <c r="AD48" s="2245"/>
      <c r="AE48" s="2246"/>
      <c r="AF48" s="2246"/>
      <c r="AG48" s="2246"/>
      <c r="AH48" s="2246"/>
      <c r="AI48" s="2246"/>
      <c r="AJ48" s="2246"/>
      <c r="AK48" s="2246"/>
      <c r="AL48" s="2247"/>
      <c r="AM48" s="1258" t="s">
        <v>410</v>
      </c>
      <c r="AO48" s="1624"/>
      <c r="AP48" s="1624" t="str">
        <f>IF(T48="","",T48)</f>
        <v xml:space="preserve">Группа потребителей</v>
      </c>
      <c r="AQ48" s="1624"/>
      <c r="AR48" s="1624"/>
      <c r="AS48" s="1631">
        <v>21</v>
      </c>
    </row>
    <row r="49" ht="22" customHeight="1">
      <c r="A49" s="1267" t="s">
        <v>214</v>
      </c>
      <c r="B49" s="1267" t="s">
        <v>215</v>
      </c>
      <c r="C49" s="1267" t="s">
        <v>216</v>
      </c>
      <c r="D49" s="1267" t="s">
        <v>217</v>
      </c>
      <c r="E49" s="2290"/>
      <c r="F49" s="2290"/>
      <c r="G49" s="2290"/>
      <c r="H49" s="2290"/>
      <c r="I49" s="2101"/>
      <c r="J49" s="2101"/>
      <c r="K49" s="2127" t="str">
        <f>J48&amp;".1"</f>
        <v>....1.1.1</v>
      </c>
      <c r="L49" s="1310" t="s">
        <v>411</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412</v>
      </c>
      <c r="AN49" s="1636">
        <f>STRCHECKDATE(V50:AL50)</f>
      </c>
      <c r="AO49" s="1624"/>
      <c r="AP49" s="1624" t="str">
        <f>IF(T49="","",T49)</f>
        <v/>
      </c>
      <c r="AQ49" s="1624"/>
      <c r="AR49" s="1624"/>
      <c r="AS49" s="1631">
        <v>21</v>
      </c>
    </row>
    <row r="50" ht="1.05" customHeight="1">
      <c r="A50" s="1267" t="s">
        <v>214</v>
      </c>
      <c r="B50" s="1267" t="s">
        <v>215</v>
      </c>
      <c r="C50" s="1267" t="s">
        <v>216</v>
      </c>
      <c r="D50" s="1267" t="s">
        <v>217</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r="51" ht="11.5" customHeight="1">
      <c r="A51" s="1267" t="s">
        <v>214</v>
      </c>
      <c r="B51" s="1267" t="s">
        <v>215</v>
      </c>
      <c r="C51" s="1267" t="s">
        <v>216</v>
      </c>
      <c r="D51" s="1267" t="s">
        <v>217</v>
      </c>
      <c r="E51" s="2290"/>
      <c r="F51" s="2290"/>
      <c r="G51" s="2290"/>
      <c r="H51" s="2290"/>
      <c r="I51" s="2101"/>
      <c r="J51" s="2127"/>
      <c r="K51" s="1267"/>
      <c r="L51" s="1310"/>
      <c r="P51" s="2257"/>
      <c r="Q51" s="2257"/>
      <c r="R51" s="356"/>
      <c r="S51" s="1278"/>
      <c r="T51" s="288" t="s">
        <v>413</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 xml:space="preserve">Добавить вид теплоносителя (параметры теплоносителя)</v>
      </c>
      <c r="AQ51" s="1624"/>
      <c r="AR51" s="1624"/>
      <c r="AS51" s="1631">
        <v>11</v>
      </c>
    </row>
    <row r="52" ht="11.5" customHeight="1">
      <c r="A52" s="1267" t="s">
        <v>214</v>
      </c>
      <c r="B52" s="1267" t="s">
        <v>215</v>
      </c>
      <c r="C52" s="1267" t="s">
        <v>216</v>
      </c>
      <c r="D52" s="1267" t="s">
        <v>217</v>
      </c>
      <c r="E52" s="2290"/>
      <c r="F52" s="2290"/>
      <c r="G52" s="2290"/>
      <c r="H52" s="2290"/>
      <c r="I52" s="2127"/>
      <c r="J52" s="1267"/>
      <c r="K52" s="1267"/>
      <c r="L52" s="1310"/>
      <c r="P52" s="2257"/>
      <c r="Q52" s="1954"/>
      <c r="R52" s="356"/>
      <c r="S52" s="1278"/>
      <c r="T52" s="287" t="s">
        <v>414</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 xml:space="preserve">Добавить группу потребителей</v>
      </c>
      <c r="AQ52" s="1624"/>
      <c r="AR52" s="1624"/>
      <c r="AS52" s="1631">
        <v>11</v>
      </c>
    </row>
    <row r="53" ht="14.65" customHeight="1">
      <c r="A53" s="1267" t="s">
        <v>214</v>
      </c>
      <c r="B53" s="1267" t="s">
        <v>215</v>
      </c>
      <c r="C53" s="1267" t="s">
        <v>216</v>
      </c>
      <c r="D53" s="1267" t="s">
        <v>217</v>
      </c>
      <c r="E53" s="2290"/>
      <c r="F53" s="2290"/>
      <c r="G53" s="2290"/>
      <c r="H53" s="2289"/>
      <c r="I53" s="1267"/>
      <c r="J53" s="1267"/>
      <c r="K53" s="1267"/>
      <c r="L53" s="1310"/>
      <c r="M53" s="1610"/>
      <c r="N53" s="1610"/>
      <c r="O53" s="1635"/>
      <c r="P53" s="360"/>
      <c r="Q53" s="375"/>
      <c r="R53" s="355"/>
      <c r="S53" s="1278"/>
      <c r="T53" s="365" t="s">
        <v>415</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 xml:space="preserve">Добавить схему подключения</v>
      </c>
      <c r="AQ53" s="1624"/>
      <c r="AR53" s="1624"/>
      <c r="AS53" s="1631">
        <v>14</v>
      </c>
    </row>
    <row r="54" s="1642" customFormat="1" ht="1.05" customHeight="1">
      <c r="A54" s="1267" t="s">
        <v>214</v>
      </c>
      <c r="B54" s="1267" t="s">
        <v>215</v>
      </c>
      <c r="C54" s="1267" t="s">
        <v>216</v>
      </c>
      <c r="D54" s="1974"/>
      <c r="E54" s="2290"/>
      <c r="F54" s="2290"/>
      <c r="G54" s="2289"/>
      <c r="H54" s="1974"/>
      <c r="I54" s="1974"/>
      <c r="J54" s="1974"/>
      <c r="K54" s="1974"/>
      <c r="L54" s="1380"/>
      <c r="M54" s="1610"/>
      <c r="N54" s="1610"/>
      <c r="O54" s="1635"/>
      <c r="P54" s="1316"/>
      <c r="Q54" s="1317"/>
      <c r="R54" s="1316"/>
      <c r="S54" s="1322"/>
      <c r="T54" s="1325" t="s">
        <v>416</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 xml:space="preserve">Добавить источник для дифференциации</v>
      </c>
      <c r="AQ54" s="1251"/>
      <c r="AR54" s="1251"/>
      <c r="AS54" s="1642">
        <v>1</v>
      </c>
    </row>
    <row r="55" s="1642" customFormat="1" ht="1.05" customHeight="1">
      <c r="A55" s="1267" t="s">
        <v>214</v>
      </c>
      <c r="B55" s="1267" t="s">
        <v>215</v>
      </c>
      <c r="C55" s="1974"/>
      <c r="D55" s="1974"/>
      <c r="E55" s="2290"/>
      <c r="F55" s="2289"/>
      <c r="G55" s="1974"/>
      <c r="H55" s="1974"/>
      <c r="I55" s="1974"/>
      <c r="J55" s="1974"/>
      <c r="K55" s="1974"/>
      <c r="L55" s="1380"/>
      <c r="M55" s="1975"/>
      <c r="N55" s="1975"/>
      <c r="O55" s="1635"/>
      <c r="P55" s="1316"/>
      <c r="Q55" s="1317"/>
      <c r="R55" s="1316"/>
      <c r="S55" s="1322"/>
      <c r="T55" s="1325" t="s">
        <v>417</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 xml:space="preserve">Добавить централизованную систему для дифференциации</v>
      </c>
      <c r="AQ55" s="1251"/>
      <c r="AR55" s="1251"/>
      <c r="AS55" s="1642">
        <v>1</v>
      </c>
    </row>
    <row r="56" s="1642" customFormat="1" ht="1.05" customHeight="1">
      <c r="A56" s="1267" t="s">
        <v>214</v>
      </c>
      <c r="B56" s="1267"/>
      <c r="C56" s="1267"/>
      <c r="D56" s="1267"/>
      <c r="E56" s="2289"/>
      <c r="F56" s="1267"/>
      <c r="G56" s="1267"/>
      <c r="H56" s="1267"/>
      <c r="I56" s="1267"/>
      <c r="J56" s="1267"/>
      <c r="K56" s="1267"/>
      <c r="L56" s="1310"/>
      <c r="M56" s="1975"/>
      <c r="N56" s="1975"/>
      <c r="O56" s="1635"/>
      <c r="P56" s="380"/>
      <c r="Q56" s="1344"/>
      <c r="R56" s="380"/>
      <c r="S56" s="1322"/>
      <c r="T56" s="1325" t="s">
        <v>418</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 xml:space="preserve">Добавить территорию для дифференциации</v>
      </c>
      <c r="AQ56" s="1624"/>
      <c r="AR56" s="1624"/>
      <c r="AS56" s="1636">
        <v>1</v>
      </c>
    </row>
    <row r="57" s="1642" customFormat="1" ht="1.05" customHeight="1">
      <c r="A57" s="1974"/>
      <c r="B57" s="1974"/>
      <c r="C57" s="1974"/>
      <c r="D57" s="1974"/>
      <c r="E57" s="1267"/>
      <c r="F57" s="1974"/>
      <c r="G57" s="1974"/>
      <c r="H57" s="1974"/>
      <c r="I57" s="1974"/>
      <c r="J57" s="1974"/>
      <c r="K57" s="1974"/>
      <c r="L57" s="1380"/>
      <c r="M57" s="1975"/>
      <c r="N57" s="1975"/>
      <c r="O57" s="1635"/>
      <c r="P57" s="1316"/>
      <c r="Q57" s="1317"/>
      <c r="R57" s="1316"/>
      <c r="S57" s="1322"/>
      <c r="T57" s="1325" t="s">
        <v>450</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 xml:space="preserve">Добавить наименование тарифа</v>
      </c>
      <c r="AQ57" s="1251"/>
      <c r="AR57" s="1251"/>
      <c r="AS57" s="1642">
        <v>1</v>
      </c>
    </row>
    <row r="58" ht="11.5" customHeight="1">
      <c r="M58" s="1631"/>
      <c r="N58" s="1631"/>
      <c r="O58" s="1635"/>
      <c r="P58" s="1631"/>
      <c r="Q58" s="1631"/>
      <c r="R58" s="1631"/>
      <c r="S58" s="1631"/>
      <c r="AN58" s="1631"/>
      <c r="AO58" s="1631"/>
      <c r="AP58" s="1631"/>
      <c r="AQ58" s="1631"/>
      <c r="AR58" s="1631"/>
      <c r="AS58" s="1631">
        <v>11</v>
      </c>
    </row>
    <row r="59" ht="28.5" customHeight="1">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r="60" ht="65.25" customHeight="1">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r="61" ht="14.65" customHeight="1">
      <c r="O61" s="1635"/>
      <c r="AS61" s="1631">
        <v>14</v>
      </c>
    </row>
    <row r="62" ht="18.75" customHeight="1">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r="63" ht="18.75" customHeight="1">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r="64" ht="29.25" customHeight="1">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r="65" ht="22.5" hidden="1" customHeight="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autoFilter="0" deleteColumns="0" deleteRows="0" insertColumns="1" insertRows="0" sort="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4">
    <dataValidation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allowBlank="1" promptTitle="checkPeriodRange"/>
    <dataValidation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allowBlank="1" prompt="Для выбора выполните двойной щелчок левой клавиши мыши по соответствующей ячейке." showErrorMessage="1" showInputMessage="1"/>
    <dataValidation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llowBlank="1" prompt="Выберите дату из календаря (иконка справа от указанной ячейки), либо введите дату непосредственно в ячейку в формате - 'ДД.ММ.ГГГГ'." showErrorMessage="1" showInputMessage="1"/>
    <dataValidation sqref="S131123:AM131129 S196659:AM196665 S262195:AM262201 S327731:AM327737 S393267:AM393273 S458803:AM458809 S524339:AM524345 S589875:AM589881 S655411:AM655417 S720947:AM720953 S786483:AM786489 S852019:AM852025 S917555:AM917561 S983091:AM983097 S65587:AM65593" allowBlank="1"/>
  </dataValidations>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x14:dataValidation xr:uid="{003300AC-004A-4315-AACE-00D5008500D6}" type="list" allowBlank="1" error="Выберите значение из списка" errorTitle="Ошибка" showErrorMessage="1" showInputMessage="1">
          <x14:formula1>
            <xm:f>kind_of_heat_transfer</xm:f>
          </x14:formula1>
          <xm:sqref>T65585 T131121 T196657 T262193 T327729 T393265 T458801 T524337 T589873 T655409 T720945 T786481 T852017 T917553 T983089</xm:sqref>
        </x14:dataValidation>
        <x14:dataValidation xr:uid="{00270022-000C-429E-A54C-00B200EC00E8}" type="textLength" allowBlank="1" error="Допускается ввод не более 900 символов!" errorTitle="Ошибка" operator="lessThanOrEqual" showErrorMessage="1" showInputMessage="1">
          <x14:formula1>
            <xm:f>900</xm:f>
          </x14:formula1>
          <xm:sqref>AM65579:AM65586 AM131115:AM131122 AM196651:AM196658 AM262187:AM262194 AM327723:AM327730 AM393259:AM393266 AM458795:AM458802 AM524331:AM524338 AM589867:AM589874 AM655403:AM655410 AM720939:AM720946 AM786475:AM786482 AM852011:AM852018 AM917547:AM917554 AM983083:AM983090</xm:sqref>
        </x14:dataValidation>
        <x14:dataValidation xr:uid="{00BD006B-0007-495E-8600-001A0052008A}" type="list" allowBlank="1" error="Выберите значение из списка" errorTitle="Ошибка" showErrorMessage="1" showInputMessage="1">
          <x14:formula1>
            <xm:f>kind_of_scheme_in</xm:f>
          </x14:formula1>
          <xm: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xm:sqref>
        </x14:dataValidation>
        <x14:dataValidation xr:uid="{00BC004C-0027-42E6-83E1-00EC00A7006F}" type="list" allowBlank="1" error="Выберите значение из списка" errorTitle="Ошибка" prompt="Выберите значение из списка" showInputMessage="1">
          <x14:formula1>
            <xm:f>kind_of_cons</xm:f>
          </x14:formula1>
          <xm:sqref>V983088:AL983088 V65584:AL65584 V131120:AL131120 V196656:AL196656 V262192:AL262192 V327728:AL327728 V393264:AL393264 V458800:AL458800 V524336:AL524336 V589872:AL589872 V655408:AL655408 V720944:AL720944 V786480:AL786480 V852016:AL852016 V917552:AL917552</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sheetPr>
  <sheetViews>
    <sheetView showGridLines="0" topLeftCell="A1" zoomScale="90" workbookViewId="0">
      <selection activeCell="A1" sqref="A1"/>
    </sheetView>
  </sheetViews>
  <sheetFormatPr defaultColWidth="10.57421875" defaultRowHeight="14.25" customHeight="1"/>
  <cols>
    <col hidden="1" min="1" max="1" style="1366" width="10.57421875"/>
    <col customWidth="1" hidden="1" min="2" max="2" style="1366" width="11.00390625"/>
    <col hidden="1" min="3" max="3" style="1366" width="10.57421875"/>
    <col customWidth="1" hidden="1" min="4" max="4" style="1366" width="11.8515625"/>
    <col customWidth="1" hidden="1" min="5" max="5" style="1366" width="10.00390625"/>
    <col customWidth="1" hidden="1" min="6" max="6" style="1366" width="8.7109375"/>
    <col customWidth="1" hidden="1" min="7" max="7" style="1366" width="7.57421875"/>
    <col customWidth="1" hidden="1" min="8" max="8" style="1366" width="11.421875"/>
    <col customWidth="1" hidden="1" min="9" max="9" style="1366" width="12.00390625"/>
    <col customWidth="1" hidden="1" min="10" max="10" style="1366" width="9.8515625"/>
    <col customWidth="1" hidden="1" min="11" max="11" style="1366" width="11.421875"/>
    <col customWidth="1" hidden="1" min="12" max="12" style="2607" width="19.140625"/>
    <col customWidth="1" hidden="1" min="13" max="14" style="1776" width="12.28125"/>
    <col customWidth="1" hidden="1" min="15" max="15" style="1776" width="23.421875"/>
    <col customWidth="1" min="16" max="16" style="2397" width="3.00390625"/>
    <col customWidth="1" min="17" max="18" style="344" width="3.00390625"/>
    <col customWidth="1" min="19" max="19" style="2407" width="12.00390625"/>
    <col customWidth="1" min="20" max="20" style="1635" width="31.00390625"/>
    <col customWidth="1" hidden="1" min="21" max="21" style="1635" width="0.7109375"/>
    <col customWidth="1" hidden="1" min="22" max="22" style="1635" width="1.7109375"/>
    <col customWidth="1" hidden="1" min="23" max="23" style="1635" width="24.7109375"/>
    <col customWidth="1" hidden="1" min="24" max="25" style="1635" width="0.140625"/>
    <col customWidth="1" hidden="1" min="26" max="26" style="1635" width="11.7109375"/>
    <col customWidth="1" hidden="1" min="27" max="27" style="1635" width="3.7109375"/>
    <col customWidth="1" hidden="1" min="28" max="28" style="1635" width="11.7109375"/>
    <col customWidth="1" hidden="1" min="29" max="29" style="1635" width="8.57421875"/>
    <col customWidth="1" min="30" max="30" style="1635" width="0.140625"/>
    <col customWidth="1" min="31" max="31" style="1635" width="24.00390625"/>
    <col customWidth="1" min="32" max="33" style="1635" width="0.140625"/>
    <col customWidth="1" min="34" max="34" style="1635" width="11.00390625"/>
    <col customWidth="1" min="35" max="35" style="1635" width="3.7109375"/>
    <col customWidth="1" min="36" max="36" style="1635" width="11.00390625"/>
    <col customWidth="1" hidden="1" min="37" max="37" style="1635" width="8.57421875"/>
    <col customWidth="1" min="38" max="38" style="1635" width="4.00390625"/>
    <col customWidth="1" min="39" max="39" style="1635" width="115.00390625"/>
    <col customWidth="1" min="40" max="44" style="1642" width="10.00390625"/>
    <col hidden="1" min="45" max="45" style="1635" width="10.57421875"/>
  </cols>
  <sheetData>
    <row r="1" ht="22.5" hidden="1" customHeight="1">
      <c r="Y1" s="327"/>
      <c r="Z1" s="327"/>
      <c r="AG1" s="327"/>
      <c r="AH1" s="327"/>
      <c r="AS1" s="1155" t="s">
        <v>14</v>
      </c>
    </row>
    <row r="2" ht="21" hidden="1" customHeight="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127</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398</v>
      </c>
      <c r="AO2" s="500"/>
      <c r="AP2" s="500" t="str">
        <f>IF(T2="","",T2)</f>
        <v xml:space="preserve">Наименование тарифа</v>
      </c>
      <c r="AQ2" s="500"/>
      <c r="AR2" s="500"/>
      <c r="AS2" s="1155">
        <v>0</v>
      </c>
    </row>
    <row r="3" ht="21" hidden="1" customHeight="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400</v>
      </c>
      <c r="AO3" s="500"/>
      <c r="AP3" s="500" t="str">
        <f>IF(T3="","",T3)</f>
        <v xml:space="preserve">Территория действия тарифа</v>
      </c>
      <c r="AQ3" s="500"/>
      <c r="AR3" s="500"/>
      <c r="AS3" s="1155">
        <v>0</v>
      </c>
    </row>
    <row r="4" ht="23.25" hidden="1" customHeight="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401</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402</v>
      </c>
      <c r="AO4" s="500"/>
      <c r="AP4" s="500" t="str">
        <f>IF(T4="","",T4)</f>
        <v xml:space="preserve">Наименование системы теплоснабжения</v>
      </c>
      <c r="AQ4" s="500"/>
      <c r="AR4" s="500"/>
      <c r="AS4" s="1155">
        <v>0</v>
      </c>
    </row>
    <row r="5" ht="21" hidden="1" customHeight="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403</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404</v>
      </c>
      <c r="AO5" s="500"/>
      <c r="AP5" s="500" t="str">
        <f>IF(T5="","",T5)</f>
        <v xml:space="preserve">Источник тепловой энергии</v>
      </c>
      <c r="AQ5" s="500"/>
      <c r="AR5" s="500"/>
      <c r="AS5" s="1155">
        <v>0</v>
      </c>
    </row>
    <row r="6" ht="47.25" hidden="1" customHeight="1">
      <c r="A6" s="1363"/>
      <c r="B6" s="1363"/>
      <c r="C6" s="1363"/>
      <c r="D6" s="1363"/>
      <c r="E6" s="2259"/>
      <c r="F6" s="2259"/>
      <c r="G6" s="2259"/>
      <c r="H6" s="2259"/>
      <c r="I6" s="2256">
        <f>S5&amp;".1"</f>
      </c>
      <c r="J6" s="1363"/>
      <c r="K6" s="1363"/>
      <c r="L6" s="1364" t="s">
        <v>405</v>
      </c>
      <c r="M6" s="537"/>
      <c r="P6" s="2257">
        <v>1</v>
      </c>
      <c r="Q6" s="1331"/>
      <c r="R6" s="356"/>
      <c r="S6" s="1336">
        <f>$I6</f>
      </c>
      <c r="T6" s="285" t="s">
        <v>406</v>
      </c>
      <c r="U6" s="300"/>
      <c r="V6" s="2245"/>
      <c r="W6" s="2246"/>
      <c r="X6" s="2246"/>
      <c r="Y6" s="2246"/>
      <c r="Z6" s="2246"/>
      <c r="AA6" s="2246"/>
      <c r="AB6" s="2246"/>
      <c r="AC6" s="2247"/>
      <c r="AD6" s="2245"/>
      <c r="AE6" s="2246"/>
      <c r="AF6" s="2246"/>
      <c r="AG6" s="2246"/>
      <c r="AH6" s="2246"/>
      <c r="AI6" s="2246"/>
      <c r="AJ6" s="2246"/>
      <c r="AK6" s="2246"/>
      <c r="AL6" s="2247"/>
      <c r="AM6" s="1258" t="s">
        <v>407</v>
      </c>
      <c r="AO6" s="500"/>
      <c r="AP6" s="500" t="str">
        <f>IF(T6="","",T6)</f>
        <v xml:space="preserve">Схема подключения теплопотребляющей установки к коллектору источника тепловой энергии</v>
      </c>
      <c r="AQ6" s="500"/>
      <c r="AR6" s="500"/>
      <c r="AS6" s="1155">
        <v>0</v>
      </c>
    </row>
    <row r="7" ht="21" hidden="1" customHeight="1">
      <c r="A7" s="1363"/>
      <c r="B7" s="1363"/>
      <c r="C7" s="1363"/>
      <c r="D7" s="1363"/>
      <c r="E7" s="2259"/>
      <c r="F7" s="2259"/>
      <c r="G7" s="2259"/>
      <c r="H7" s="2259"/>
      <c r="I7" s="2286"/>
      <c r="J7" s="2256">
        <f>I6&amp;".1"</f>
      </c>
      <c r="K7" s="1363"/>
      <c r="L7" s="1364" t="s">
        <v>408</v>
      </c>
      <c r="M7" s="537"/>
      <c r="N7" s="1366"/>
      <c r="P7" s="2257"/>
      <c r="Q7" s="2257">
        <v>1</v>
      </c>
      <c r="R7" s="357"/>
      <c r="S7" s="1336">
        <f>$J7</f>
      </c>
      <c r="T7" s="286" t="s">
        <v>409</v>
      </c>
      <c r="U7" s="300"/>
      <c r="V7" s="2245"/>
      <c r="W7" s="2246"/>
      <c r="X7" s="2246"/>
      <c r="Y7" s="2246"/>
      <c r="Z7" s="2246"/>
      <c r="AA7" s="2246"/>
      <c r="AB7" s="2246"/>
      <c r="AC7" s="2247"/>
      <c r="AD7" s="2245"/>
      <c r="AE7" s="2246"/>
      <c r="AF7" s="2246"/>
      <c r="AG7" s="2246"/>
      <c r="AH7" s="2246"/>
      <c r="AI7" s="2246"/>
      <c r="AJ7" s="2246"/>
      <c r="AK7" s="2246"/>
      <c r="AL7" s="2247"/>
      <c r="AM7" s="1258" t="s">
        <v>410</v>
      </c>
      <c r="AO7" s="500"/>
      <c r="AP7" s="500" t="str">
        <f>IF(T7="","",T7)</f>
        <v xml:space="preserve">Группа потребителей</v>
      </c>
      <c r="AQ7" s="500"/>
      <c r="AR7" s="500"/>
      <c r="AS7" s="1155">
        <v>0</v>
      </c>
    </row>
    <row r="8" ht="21" hidden="1" customHeight="1">
      <c r="A8" s="1363"/>
      <c r="B8" s="1363"/>
      <c r="C8" s="1363"/>
      <c r="D8" s="1363"/>
      <c r="E8" s="2259"/>
      <c r="F8" s="2259"/>
      <c r="G8" s="2259"/>
      <c r="H8" s="2259"/>
      <c r="I8" s="2286"/>
      <c r="J8" s="2286"/>
      <c r="K8" s="2256">
        <f>J7&amp;".1"</f>
      </c>
      <c r="L8" s="1364" t="s">
        <v>411</v>
      </c>
      <c r="M8" s="537"/>
      <c r="N8" s="1366"/>
      <c r="O8" s="1366"/>
      <c r="P8" s="2257"/>
      <c r="Q8" s="2257"/>
      <c r="R8" s="357">
        <v>1</v>
      </c>
      <c r="S8" s="1336">
        <f>$K8</f>
      </c>
      <c r="T8" s="1347"/>
      <c r="U8" s="300"/>
      <c r="V8" s="325"/>
      <c r="W8" s="751"/>
      <c r="X8" s="325"/>
      <c r="Y8" s="384"/>
      <c r="Z8" s="2265"/>
      <c r="AA8" s="2107" t="s">
        <v>65</v>
      </c>
      <c r="AB8" s="2265"/>
      <c r="AC8" s="2107" t="s">
        <v>65</v>
      </c>
      <c r="AD8" s="325"/>
      <c r="AE8" s="751"/>
      <c r="AF8" s="325"/>
      <c r="AG8" s="384"/>
      <c r="AH8" s="2265"/>
      <c r="AI8" s="2107" t="s">
        <v>65</v>
      </c>
      <c r="AJ8" s="2265"/>
      <c r="AK8" s="2107" t="s">
        <v>65</v>
      </c>
      <c r="AL8" s="325"/>
      <c r="AM8" s="2253" t="s">
        <v>412</v>
      </c>
      <c r="AN8" s="511">
        <f>STRCHECKDATE(V9:AL9)</f>
      </c>
      <c r="AO8" s="500"/>
      <c r="AP8" s="500" t="str">
        <f>IF(T8="","",T8)</f>
        <v/>
      </c>
      <c r="AQ8" s="500"/>
      <c r="AR8" s="500"/>
      <c r="AS8" s="1155">
        <v>0</v>
      </c>
    </row>
    <row r="9" ht="0.75" hidden="1" customHeight="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r="10" ht="15" hidden="1" customHeight="1">
      <c r="A10" s="1363"/>
      <c r="B10" s="1363"/>
      <c r="C10" s="1363"/>
      <c r="D10" s="1363"/>
      <c r="E10" s="2259"/>
      <c r="F10" s="2259"/>
      <c r="G10" s="2259"/>
      <c r="H10" s="2259"/>
      <c r="I10" s="2286"/>
      <c r="J10" s="2256"/>
      <c r="K10" s="1363"/>
      <c r="L10" s="1364"/>
      <c r="M10" s="537"/>
      <c r="N10" s="1366"/>
      <c r="P10" s="2257"/>
      <c r="Q10" s="2257"/>
      <c r="R10" s="356"/>
      <c r="S10" s="1278"/>
      <c r="T10" s="288" t="s">
        <v>413</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 xml:space="preserve">Добавить вид теплоносителя (параметры теплоносителя)</v>
      </c>
      <c r="AQ10" s="500"/>
      <c r="AR10" s="500"/>
      <c r="AS10" s="1155">
        <v>0</v>
      </c>
    </row>
    <row r="11" ht="15" hidden="1" customHeight="1">
      <c r="A11" s="1363"/>
      <c r="B11" s="1363"/>
      <c r="C11" s="1363"/>
      <c r="D11" s="1363"/>
      <c r="E11" s="2259"/>
      <c r="F11" s="2259"/>
      <c r="G11" s="2259"/>
      <c r="H11" s="2259"/>
      <c r="I11" s="2256"/>
      <c r="J11" s="1363"/>
      <c r="K11" s="1363"/>
      <c r="L11" s="1364"/>
      <c r="M11" s="537"/>
      <c r="P11" s="2257"/>
      <c r="Q11" s="1331"/>
      <c r="R11" s="356"/>
      <c r="S11" s="1278"/>
      <c r="T11" s="287" t="s">
        <v>414</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 xml:space="preserve">Добавить группу потребителей</v>
      </c>
      <c r="AQ11" s="500"/>
      <c r="AR11" s="500"/>
      <c r="AS11" s="1155">
        <v>0</v>
      </c>
    </row>
    <row r="12" ht="14.25" hidden="1" customHeight="1">
      <c r="A12" s="1363"/>
      <c r="B12" s="1363"/>
      <c r="C12" s="1363"/>
      <c r="D12" s="1363"/>
      <c r="E12" s="2259"/>
      <c r="F12" s="2259"/>
      <c r="G12" s="2259"/>
      <c r="H12" s="2258"/>
      <c r="I12" s="1363"/>
      <c r="J12" s="1363"/>
      <c r="K12" s="1363"/>
      <c r="L12" s="1364"/>
      <c r="M12" s="1365"/>
      <c r="N12" s="1365"/>
      <c r="O12" s="537"/>
      <c r="P12" s="360"/>
      <c r="Q12" s="375"/>
      <c r="R12" s="355"/>
      <c r="S12" s="1278"/>
      <c r="T12" s="365" t="s">
        <v>415</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 xml:space="preserve">Добавить схему подключения</v>
      </c>
      <c r="AQ12" s="500"/>
      <c r="AR12" s="500"/>
      <c r="AS12" s="1155">
        <v>0</v>
      </c>
    </row>
    <row r="13" s="1642" customFormat="1" ht="0.75" hidden="1" customHeight="1">
      <c r="A13" s="1314"/>
      <c r="B13" s="1314"/>
      <c r="C13" s="1314"/>
      <c r="D13" s="1314"/>
      <c r="E13" s="2259"/>
      <c r="F13" s="2259"/>
      <c r="G13" s="2258"/>
      <c r="H13" s="1314"/>
      <c r="I13" s="1314"/>
      <c r="J13" s="1314"/>
      <c r="K13" s="1314"/>
      <c r="L13" s="1339"/>
      <c r="M13" s="1315"/>
      <c r="N13" s="1315"/>
      <c r="P13" s="1316"/>
      <c r="Q13" s="1317"/>
      <c r="R13" s="1316"/>
      <c r="S13" s="1318"/>
      <c r="T13" s="1319" t="s">
        <v>416</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 xml:space="preserve">Добавить источник для дифференциации</v>
      </c>
      <c r="AQ13" s="789"/>
      <c r="AR13" s="789"/>
      <c r="AS13" s="518">
        <v>0</v>
      </c>
    </row>
    <row r="14" s="1642" customFormat="1" ht="0.75" hidden="1" customHeight="1">
      <c r="A14" s="1314"/>
      <c r="B14" s="1314"/>
      <c r="C14" s="1314"/>
      <c r="D14" s="1314"/>
      <c r="E14" s="2259"/>
      <c r="F14" s="2258"/>
      <c r="G14" s="1314"/>
      <c r="H14" s="1314"/>
      <c r="I14" s="1314"/>
      <c r="J14" s="1314"/>
      <c r="K14" s="1314"/>
      <c r="L14" s="1339"/>
      <c r="M14" s="1321"/>
      <c r="N14" s="1321"/>
      <c r="P14" s="1316"/>
      <c r="Q14" s="1317"/>
      <c r="R14" s="1316"/>
      <c r="S14" s="1322"/>
      <c r="T14" s="1323" t="s">
        <v>417</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 xml:space="preserve">Добавить централизованную систему для дифференциации</v>
      </c>
      <c r="AQ14" s="789"/>
      <c r="AR14" s="789"/>
      <c r="AS14" s="518">
        <v>0</v>
      </c>
    </row>
    <row r="15" s="1642" customFormat="1" ht="0.75" hidden="1" customHeight="1">
      <c r="A15" s="1314"/>
      <c r="B15" s="1314"/>
      <c r="C15" s="1314"/>
      <c r="D15" s="1314"/>
      <c r="E15" s="2258"/>
      <c r="F15" s="1314"/>
      <c r="G15" s="1314"/>
      <c r="H15" s="1314"/>
      <c r="I15" s="1314"/>
      <c r="J15" s="1314"/>
      <c r="K15" s="1314"/>
      <c r="L15" s="1339"/>
      <c r="M15" s="1321"/>
      <c r="N15" s="1321"/>
      <c r="P15" s="1316"/>
      <c r="Q15" s="1317"/>
      <c r="R15" s="1316"/>
      <c r="S15" s="1322"/>
      <c r="T15" s="1325" t="s">
        <v>418</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 xml:space="preserve">Добавить территорию для дифференциации</v>
      </c>
      <c r="AQ15" s="789"/>
      <c r="AR15" s="789"/>
      <c r="AS15" s="518">
        <v>0</v>
      </c>
    </row>
    <row r="16" ht="14.25" hidden="1" customHeight="1">
      <c r="AC16" s="327"/>
      <c r="AK16" s="327"/>
      <c r="AS16" s="1155">
        <v>0</v>
      </c>
    </row>
    <row r="17" ht="14.25" hidden="1" customHeight="1">
      <c r="AD17" s="1360"/>
      <c r="AE17" s="1360"/>
      <c r="AF17" s="1360"/>
      <c r="AG17" s="1361"/>
      <c r="AH17" s="2267"/>
      <c r="AI17" s="2268" t="s">
        <v>65</v>
      </c>
      <c r="AJ17" s="2267"/>
      <c r="AK17" s="2268" t="s">
        <v>65</v>
      </c>
      <c r="AS17" s="1155">
        <v>0</v>
      </c>
    </row>
    <row r="18" ht="14.25" hidden="1" customHeight="1">
      <c r="AD18" s="1360"/>
      <c r="AE18" s="1360"/>
      <c r="AF18" s="1360"/>
      <c r="AG18" s="328" t="str">
        <f>AH17&amp;"-"&amp;AJ17</f>
        <v>-</v>
      </c>
      <c r="AH18" s="2268"/>
      <c r="AI18" s="2268"/>
      <c r="AJ18" s="2268"/>
      <c r="AK18" s="2268"/>
      <c r="AS18" s="1155">
        <v>0</v>
      </c>
    </row>
    <row r="19" ht="14.25" hidden="1" customHeight="1">
      <c r="AK19" s="327"/>
      <c r="AS19" s="1155">
        <v>0</v>
      </c>
    </row>
    <row r="20" s="1366" customFormat="1" ht="22.5" hidden="1" customHeight="1">
      <c r="L20" s="1329"/>
      <c r="M20" s="1362"/>
      <c r="N20" s="1362"/>
      <c r="O20" s="1367" t="s">
        <v>419</v>
      </c>
      <c r="P20" s="1362"/>
      <c r="Q20" s="1371"/>
      <c r="R20" s="1371"/>
      <c r="S20" s="729"/>
      <c r="Z20" s="1367"/>
      <c r="AB20" s="1367"/>
      <c r="AC20" s="1366"/>
      <c r="AH20" s="1367"/>
      <c r="AJ20" s="1367"/>
      <c r="AK20" s="1366"/>
      <c r="AN20" s="511"/>
      <c r="AO20" s="511"/>
      <c r="AP20" s="511"/>
      <c r="AQ20" s="511"/>
      <c r="AR20" s="511"/>
      <c r="AS20" s="1160">
        <v>0</v>
      </c>
    </row>
    <row r="21" s="1366" customFormat="1" ht="14.25" hidden="1" customHeight="1">
      <c r="L21" s="1329"/>
      <c r="M21" s="1362"/>
      <c r="N21" s="1362"/>
      <c r="O21" s="1362"/>
      <c r="P21" s="1362"/>
      <c r="Q21" s="1371"/>
      <c r="R21" s="1371"/>
      <c r="S21" s="729"/>
      <c r="AC21" s="1366"/>
      <c r="AK21" s="1366"/>
      <c r="AN21" s="511"/>
      <c r="AO21" s="511"/>
      <c r="AP21" s="511"/>
      <c r="AQ21" s="511"/>
      <c r="AR21" s="511"/>
      <c r="AS21" s="1160">
        <v>0</v>
      </c>
    </row>
    <row r="22" s="1366" customFormat="1" ht="33.75" hidden="1" customHeight="1">
      <c r="L22" s="1329"/>
      <c r="M22" s="1362"/>
      <c r="N22" s="1362"/>
      <c r="O22" s="1364" t="s">
        <v>420</v>
      </c>
      <c r="P22" s="1362"/>
      <c r="Q22" s="1371"/>
      <c r="R22" s="1371"/>
      <c r="S22" s="729"/>
      <c r="T22" s="1160" t="s">
        <v>421</v>
      </c>
      <c r="AA22" s="186" t="s">
        <v>422</v>
      </c>
      <c r="AC22" s="186" t="s">
        <v>423</v>
      </c>
      <c r="AD22" s="1160" t="s">
        <v>421</v>
      </c>
      <c r="AI22" s="186" t="s">
        <v>424</v>
      </c>
      <c r="AK22" s="186" t="s">
        <v>423</v>
      </c>
      <c r="AN22" s="511"/>
      <c r="AO22" s="511"/>
      <c r="AP22" s="511"/>
      <c r="AQ22" s="511"/>
      <c r="AR22" s="511"/>
      <c r="AS22" s="1160">
        <v>0</v>
      </c>
    </row>
    <row r="23" ht="14.25" hidden="1" customHeight="1">
      <c r="O23" s="1364"/>
      <c r="AS23" s="1155">
        <v>0</v>
      </c>
    </row>
    <row r="24" ht="14.25" hidden="1" customHeight="1">
      <c r="O24" s="1364"/>
      <c r="AS24" s="1155">
        <v>0</v>
      </c>
    </row>
    <row r="25" ht="14.65" customHeight="1">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r="26" ht="29.25" customHeight="1">
      <c r="Q26" s="376"/>
      <c r="R26" s="376"/>
      <c r="S26" s="2248" t="str">
        <f>IF(TEMPLATE_GROUP="P",PT_P_FORM_HEAT_4_NAME_FORM,PT_R_FORM_HEAT_21_NAME_FORM)</f>
        <v xml:space="preserve">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r="27" ht="14.65" customHeight="1">
      <c r="Q27" s="376"/>
      <c r="R27" s="376"/>
      <c r="S27" s="2249" t="str">
        <f>IF(org=0,"Не определено",org)</f>
        <v xml:space="preserve">филиал ПАО "ОГК-2" - Рязанская ГРЭС</v>
      </c>
      <c r="T27" s="2249"/>
      <c r="U27" s="2249"/>
      <c r="V27" s="2249"/>
      <c r="W27" s="2249"/>
      <c r="X27" s="2249"/>
      <c r="Y27" s="2249"/>
      <c r="Z27" s="2249"/>
      <c r="AA27" s="2249"/>
      <c r="AB27" s="2249"/>
      <c r="AC27" s="2249"/>
      <c r="AD27" s="2249"/>
      <c r="AE27" s="2249"/>
      <c r="AF27" s="2249"/>
      <c r="AG27" s="2249"/>
      <c r="AH27" s="2249"/>
      <c r="AI27" s="2249"/>
      <c r="AJ27" s="2249"/>
      <c r="AK27" s="1243"/>
      <c r="AS27" s="1155">
        <v>14</v>
      </c>
    </row>
    <row r="28" ht="14.25" hidden="1" customHeight="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r="29" s="1853" customFormat="1" ht="25.5" hidden="1" customHeight="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r="30" s="1853" customFormat="1" ht="18.75" hidden="1" customHeight="1">
      <c r="A30" s="1368"/>
      <c r="B30" s="1368"/>
      <c r="C30" s="1368"/>
      <c r="D30" s="1368"/>
      <c r="E30" s="1368"/>
      <c r="F30" s="1368"/>
      <c r="G30" s="1368"/>
      <c r="H30" s="1368"/>
      <c r="I30" s="1368"/>
      <c r="J30" s="1368"/>
      <c r="K30" s="1368"/>
      <c r="L30" s="1369"/>
      <c r="M30" s="1368"/>
      <c r="N30" s="1368"/>
      <c r="O30" s="1368"/>
      <c r="S30" s="2250" t="s">
        <v>425</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r="31" s="1853" customFormat="1" ht="18.75" hidden="1" customHeight="1">
      <c r="A31" s="1368"/>
      <c r="B31" s="1368"/>
      <c r="C31" s="1368"/>
      <c r="D31" s="1368"/>
      <c r="E31" s="1368"/>
      <c r="F31" s="1368"/>
      <c r="G31" s="1368"/>
      <c r="H31" s="1368"/>
      <c r="I31" s="1368"/>
      <c r="J31" s="1368"/>
      <c r="K31" s="1368"/>
      <c r="L31" s="1369"/>
      <c r="M31" s="1368"/>
      <c r="N31" s="1368"/>
      <c r="O31" s="1368"/>
      <c r="S31" s="2250" t="s">
        <v>426</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r="32" s="1853" customFormat="1" ht="18.75" hidden="1" customHeight="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r="33" ht="14.25" hidden="1" customHeight="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r="34" s="1853" customFormat="1" ht="18.75" hidden="1" customHeight="1">
      <c r="A34" s="1368"/>
      <c r="B34" s="1368"/>
      <c r="C34" s="1368"/>
      <c r="D34" s="1368"/>
      <c r="E34" s="1368"/>
      <c r="F34" s="1368"/>
      <c r="G34" s="1368"/>
      <c r="H34" s="1368"/>
      <c r="I34" s="1368"/>
      <c r="J34" s="1368"/>
      <c r="K34" s="1368"/>
      <c r="L34" s="1369"/>
      <c r="M34" s="1368"/>
      <c r="N34" s="1368"/>
      <c r="O34" s="1368"/>
      <c r="S34" s="2250" t="s">
        <v>427</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r="35" s="1853" customFormat="1" ht="18.75" hidden="1" customHeight="1">
      <c r="A35" s="1368"/>
      <c r="B35" s="1368"/>
      <c r="C35" s="1368"/>
      <c r="D35" s="1368"/>
      <c r="E35" s="1368"/>
      <c r="F35" s="1368"/>
      <c r="G35" s="1368"/>
      <c r="H35" s="1368"/>
      <c r="I35" s="1368"/>
      <c r="J35" s="1368"/>
      <c r="K35" s="1368"/>
      <c r="L35" s="1369"/>
      <c r="M35" s="1368"/>
      <c r="N35" s="1368"/>
      <c r="O35" s="1368"/>
      <c r="S35" s="2250" t="s">
        <v>428</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r="36" s="1853" customFormat="1" ht="0" customHeight="1">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429</v>
      </c>
      <c r="AD36" s="326"/>
      <c r="AE36" s="326"/>
      <c r="AF36" s="326"/>
      <c r="AG36" s="326"/>
      <c r="AH36" s="326"/>
      <c r="AI36" s="326"/>
      <c r="AJ36" s="326"/>
      <c r="AK36" s="278" t="s">
        <v>429</v>
      </c>
      <c r="AN36" s="368"/>
      <c r="AO36" s="368"/>
      <c r="AP36" s="368"/>
      <c r="AQ36" s="368"/>
      <c r="AR36" s="368"/>
      <c r="AS36" s="418">
        <v>0</v>
      </c>
    </row>
    <row r="37" ht="14.65" customHeight="1">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r="38" ht="14.65" customHeight="1">
      <c r="Q38" s="376"/>
      <c r="R38" s="376"/>
      <c r="S38" s="2127" t="s">
        <v>302</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303</v>
      </c>
      <c r="AS38" s="1155">
        <v>14</v>
      </c>
    </row>
    <row r="39" ht="14.65" customHeight="1">
      <c r="Q39" s="376"/>
      <c r="R39" s="376"/>
      <c r="S39" s="2273" t="s">
        <v>87</v>
      </c>
      <c r="T39" s="2209" t="s">
        <v>430</v>
      </c>
      <c r="U39" s="301"/>
      <c r="V39" s="2274" t="s">
        <v>431</v>
      </c>
      <c r="W39" s="2275"/>
      <c r="X39" s="2291"/>
      <c r="Y39" s="2291"/>
      <c r="Z39" s="2275"/>
      <c r="AA39" s="2275"/>
      <c r="AB39" s="2276"/>
      <c r="AC39" s="2277" t="s">
        <v>432</v>
      </c>
      <c r="AD39" s="2274" t="s">
        <v>431</v>
      </c>
      <c r="AE39" s="2275"/>
      <c r="AF39" s="2291"/>
      <c r="AG39" s="2291"/>
      <c r="AH39" s="2275"/>
      <c r="AI39" s="2275"/>
      <c r="AJ39" s="2276"/>
      <c r="AK39" s="2277" t="s">
        <v>433</v>
      </c>
      <c r="AL39" s="2280" t="s">
        <v>434</v>
      </c>
      <c r="AM39" s="2127"/>
      <c r="AS39" s="1155">
        <v>14</v>
      </c>
    </row>
    <row r="40" ht="24" customHeight="1">
      <c r="Q40" s="376"/>
      <c r="R40" s="376"/>
      <c r="S40" s="2273"/>
      <c r="T40" s="2209"/>
      <c r="U40" s="1031"/>
      <c r="V40" s="2292" t="s">
        <v>435</v>
      </c>
      <c r="W40" s="2294" t="s">
        <v>436</v>
      </c>
      <c r="X40" s="1376" t="s">
        <v>437</v>
      </c>
      <c r="Y40" s="1376"/>
      <c r="Z40" s="2269" t="s">
        <v>438</v>
      </c>
      <c r="AA40" s="2269"/>
      <c r="AB40" s="2263"/>
      <c r="AC40" s="2278"/>
      <c r="AD40" s="2292" t="s">
        <v>435</v>
      </c>
      <c r="AE40" s="2294" t="s">
        <v>436</v>
      </c>
      <c r="AF40" s="1376" t="s">
        <v>437</v>
      </c>
      <c r="AG40" s="1376"/>
      <c r="AH40" s="2269" t="s">
        <v>438</v>
      </c>
      <c r="AI40" s="2269"/>
      <c r="AJ40" s="2263"/>
      <c r="AK40" s="2278"/>
      <c r="AL40" s="2281"/>
      <c r="AM40" s="2127"/>
      <c r="AS40" s="1155">
        <v>23</v>
      </c>
    </row>
    <row r="41" s="1266" customFormat="1" ht="24" customHeight="1">
      <c r="A41" s="1370"/>
      <c r="B41" s="1370" t="s">
        <v>139</v>
      </c>
      <c r="C41" s="1370" t="s">
        <v>140</v>
      </c>
      <c r="D41" s="1370" t="s">
        <v>141</v>
      </c>
      <c r="E41" s="1364" t="s">
        <v>439</v>
      </c>
      <c r="F41" s="1364" t="s">
        <v>440</v>
      </c>
      <c r="G41" s="1364" t="s">
        <v>441</v>
      </c>
      <c r="H41" s="1364" t="s">
        <v>442</v>
      </c>
      <c r="I41" s="1364" t="s">
        <v>443</v>
      </c>
      <c r="J41" s="1364" t="s">
        <v>444</v>
      </c>
      <c r="K41" s="1364" t="s">
        <v>445</v>
      </c>
      <c r="L41" s="1364" t="s">
        <v>420</v>
      </c>
      <c r="M41" s="1362"/>
      <c r="N41" s="1362"/>
      <c r="O41" s="1362"/>
      <c r="P41" s="1328"/>
      <c r="Q41" s="376"/>
      <c r="R41" s="376"/>
      <c r="S41" s="2273"/>
      <c r="T41" s="2209"/>
      <c r="U41" s="302"/>
      <c r="V41" s="2293"/>
      <c r="W41" s="2295"/>
      <c r="X41" s="1373" t="s">
        <v>446</v>
      </c>
      <c r="Y41" s="1373" t="s">
        <v>447</v>
      </c>
      <c r="Z41" s="1334" t="s">
        <v>448</v>
      </c>
      <c r="AA41" s="2270" t="s">
        <v>449</v>
      </c>
      <c r="AB41" s="2271"/>
      <c r="AC41" s="2279"/>
      <c r="AD41" s="2293"/>
      <c r="AE41" s="2295"/>
      <c r="AF41" s="1373" t="s">
        <v>446</v>
      </c>
      <c r="AG41" s="1373" t="s">
        <v>447</v>
      </c>
      <c r="AH41" s="1334" t="s">
        <v>448</v>
      </c>
      <c r="AI41" s="2270" t="s">
        <v>449</v>
      </c>
      <c r="AJ41" s="2271"/>
      <c r="AK41" s="2279"/>
      <c r="AL41" s="2282"/>
      <c r="AM41" s="2127"/>
      <c r="AN41" s="511"/>
      <c r="AO41" s="500"/>
      <c r="AP41" s="500"/>
      <c r="AQ41" s="500"/>
      <c r="AR41" s="500"/>
      <c r="AS41" s="582">
        <v>23</v>
      </c>
    </row>
    <row r="42" s="1641" customFormat="1" ht="11.25" hidden="1" customHeight="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r="43" ht="22" customHeight="1">
      <c r="A43" s="1363" t="s">
        <v>196</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127</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 xml:space="preserve">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 xml:space="preserve">Наименование тарифа</v>
      </c>
      <c r="AQ43" s="500"/>
      <c r="AR43" s="500"/>
      <c r="AS43" s="1155">
        <v>21</v>
      </c>
    </row>
    <row r="44" ht="22" customHeight="1">
      <c r="A44" s="1363" t="s">
        <v>196</v>
      </c>
      <c r="B44" s="1363" t="s">
        <v>197</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400</v>
      </c>
      <c r="AO44" s="500"/>
      <c r="AP44" s="500" t="str">
        <f>IF(T44="","",T44)</f>
        <v xml:space="preserve">Территория действия тарифа</v>
      </c>
      <c r="AQ44" s="500"/>
      <c r="AR44" s="500"/>
      <c r="AS44" s="1155">
        <v>21</v>
      </c>
    </row>
    <row r="45" ht="24" customHeight="1">
      <c r="A45" s="1363" t="s">
        <v>196</v>
      </c>
      <c r="B45" s="1363" t="s">
        <v>197</v>
      </c>
      <c r="C45" s="1363" t="s">
        <v>198</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402</v>
      </c>
      <c r="AO45" s="500"/>
      <c r="AP45" s="500" t="str">
        <f>IF(T45="","",T45)</f>
        <v xml:space="preserve">Наименование системы теплоснабжения</v>
      </c>
      <c r="AQ45" s="500"/>
      <c r="AR45" s="500"/>
      <c r="AS45" s="1155">
        <v>23</v>
      </c>
    </row>
    <row r="46" ht="22" customHeight="1">
      <c r="A46" s="1363" t="s">
        <v>196</v>
      </c>
      <c r="B46" s="1363" t="s">
        <v>197</v>
      </c>
      <c r="C46" s="1363" t="s">
        <v>198</v>
      </c>
      <c r="D46" s="1363" t="s">
        <v>199</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404</v>
      </c>
      <c r="AO46" s="500"/>
      <c r="AP46" s="500" t="str">
        <f>IF(T46="","",T46)</f>
        <v xml:space="preserve">Источник тепловой энергии</v>
      </c>
      <c r="AQ46" s="500"/>
      <c r="AR46" s="500"/>
      <c r="AS46" s="1155">
        <v>21</v>
      </c>
    </row>
    <row r="47" ht="49.5" customHeight="1">
      <c r="A47" s="1363" t="s">
        <v>196</v>
      </c>
      <c r="B47" s="1363" t="s">
        <v>197</v>
      </c>
      <c r="C47" s="1363" t="s">
        <v>198</v>
      </c>
      <c r="D47" s="1363" t="s">
        <v>199</v>
      </c>
      <c r="E47" s="2259"/>
      <c r="F47" s="2259"/>
      <c r="G47" s="2259"/>
      <c r="H47" s="2259"/>
      <c r="I47" s="2256" t="str">
        <f>S46&amp;".1"</f>
        <v>....1</v>
      </c>
      <c r="J47" s="1363"/>
      <c r="K47" s="1363"/>
      <c r="L47" s="1364" t="s">
        <v>405</v>
      </c>
      <c r="P47" s="2257">
        <v>1</v>
      </c>
      <c r="Q47" s="1331"/>
      <c r="R47" s="356"/>
      <c r="S47" s="1336" t="str">
        <f>$I47</f>
        <v>....1</v>
      </c>
      <c r="T47" s="285" t="s">
        <v>406</v>
      </c>
      <c r="U47" s="300"/>
      <c r="V47" s="2245"/>
      <c r="W47" s="2246"/>
      <c r="X47" s="2246"/>
      <c r="Y47" s="2246"/>
      <c r="Z47" s="2246"/>
      <c r="AA47" s="2246"/>
      <c r="AB47" s="2246"/>
      <c r="AC47" s="2247"/>
      <c r="AD47" s="2245"/>
      <c r="AE47" s="2246"/>
      <c r="AF47" s="2246"/>
      <c r="AG47" s="2246"/>
      <c r="AH47" s="2246"/>
      <c r="AI47" s="2246"/>
      <c r="AJ47" s="2246"/>
      <c r="AK47" s="2246"/>
      <c r="AL47" s="2247"/>
      <c r="AM47" s="1258" t="s">
        <v>407</v>
      </c>
      <c r="AO47" s="500"/>
      <c r="AP47" s="500" t="str">
        <f>IF(T47="","",T47)</f>
        <v xml:space="preserve">Схема подключения теплопотребляющей установки к коллектору источника тепловой энергии</v>
      </c>
      <c r="AQ47" s="500"/>
      <c r="AR47" s="500"/>
      <c r="AS47" s="1155">
        <v>47</v>
      </c>
    </row>
    <row r="48" ht="22" customHeight="1">
      <c r="A48" s="1363" t="s">
        <v>196</v>
      </c>
      <c r="B48" s="1363" t="s">
        <v>197</v>
      </c>
      <c r="C48" s="1363" t="s">
        <v>198</v>
      </c>
      <c r="D48" s="1363" t="s">
        <v>199</v>
      </c>
      <c r="E48" s="2259"/>
      <c r="F48" s="2259"/>
      <c r="G48" s="2259"/>
      <c r="H48" s="2259"/>
      <c r="I48" s="2286"/>
      <c r="J48" s="2256" t="str">
        <f>I47&amp;".1"</f>
        <v>....1.1</v>
      </c>
      <c r="K48" s="1363"/>
      <c r="L48" s="1364" t="s">
        <v>408</v>
      </c>
      <c r="P48" s="2257"/>
      <c r="Q48" s="2257">
        <v>1</v>
      </c>
      <c r="R48" s="357"/>
      <c r="S48" s="1336" t="str">
        <f>$J48</f>
        <v>....1.1</v>
      </c>
      <c r="T48" s="286" t="s">
        <v>409</v>
      </c>
      <c r="U48" s="300"/>
      <c r="V48" s="2245"/>
      <c r="W48" s="2246"/>
      <c r="X48" s="2246"/>
      <c r="Y48" s="2246"/>
      <c r="Z48" s="2246"/>
      <c r="AA48" s="2246"/>
      <c r="AB48" s="2246"/>
      <c r="AC48" s="2247"/>
      <c r="AD48" s="2245"/>
      <c r="AE48" s="2246"/>
      <c r="AF48" s="2246"/>
      <c r="AG48" s="2246"/>
      <c r="AH48" s="2246"/>
      <c r="AI48" s="2246"/>
      <c r="AJ48" s="2246"/>
      <c r="AK48" s="2246"/>
      <c r="AL48" s="2247"/>
      <c r="AM48" s="1258" t="s">
        <v>410</v>
      </c>
      <c r="AO48" s="500"/>
      <c r="AP48" s="500" t="str">
        <f>IF(T48="","",T48)</f>
        <v xml:space="preserve">Группа потребителей</v>
      </c>
      <c r="AQ48" s="500"/>
      <c r="AR48" s="500"/>
      <c r="AS48" s="1155">
        <v>21</v>
      </c>
    </row>
    <row r="49" ht="22" customHeight="1">
      <c r="A49" s="1363" t="s">
        <v>196</v>
      </c>
      <c r="B49" s="1363" t="s">
        <v>197</v>
      </c>
      <c r="C49" s="1363" t="s">
        <v>198</v>
      </c>
      <c r="D49" s="1363" t="s">
        <v>199</v>
      </c>
      <c r="E49" s="2259"/>
      <c r="F49" s="2259"/>
      <c r="G49" s="2259"/>
      <c r="H49" s="2259"/>
      <c r="I49" s="2286"/>
      <c r="J49" s="2286"/>
      <c r="K49" s="2256" t="str">
        <f>J48&amp;".1"</f>
        <v>....1.1.1</v>
      </c>
      <c r="L49" s="1364" t="s">
        <v>411</v>
      </c>
      <c r="P49" s="2257"/>
      <c r="Q49" s="2257"/>
      <c r="R49" s="357">
        <v>1</v>
      </c>
      <c r="S49" s="1336" t="str">
        <f>$K49</f>
        <v>....1.1.1</v>
      </c>
      <c r="T49" s="1347"/>
      <c r="U49" s="300"/>
      <c r="V49" s="325"/>
      <c r="W49" s="751"/>
      <c r="X49" s="325"/>
      <c r="Y49" s="384"/>
      <c r="Z49" s="2265"/>
      <c r="AA49" s="2107" t="s">
        <v>65</v>
      </c>
      <c r="AB49" s="2265"/>
      <c r="AC49" s="2107" t="s">
        <v>65</v>
      </c>
      <c r="AD49" s="325"/>
      <c r="AE49" s="751"/>
      <c r="AF49" s="325"/>
      <c r="AG49" s="384"/>
      <c r="AH49" s="2265"/>
      <c r="AI49" s="2107" t="s">
        <v>65</v>
      </c>
      <c r="AJ49" s="2287"/>
      <c r="AK49" s="2107" t="s">
        <v>65</v>
      </c>
      <c r="AL49" s="1348"/>
      <c r="AM49" s="2253" t="s">
        <v>412</v>
      </c>
      <c r="AN49" s="511">
        <f>STRCHECKDATE(V50:AL50)</f>
      </c>
      <c r="AO49" s="500"/>
      <c r="AP49" s="500" t="str">
        <f>IF(T49="","",T49)</f>
        <v/>
      </c>
      <c r="AQ49" s="500"/>
      <c r="AR49" s="500"/>
      <c r="AS49" s="1155">
        <v>21</v>
      </c>
    </row>
    <row r="50" ht="1.05" customHeight="1">
      <c r="A50" s="1363" t="s">
        <v>196</v>
      </c>
      <c r="B50" s="1363" t="s">
        <v>197</v>
      </c>
      <c r="C50" s="1363" t="s">
        <v>198</v>
      </c>
      <c r="D50" s="1363" t="s">
        <v>199</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r="51" ht="11.5" customHeight="1">
      <c r="A51" s="1363" t="s">
        <v>196</v>
      </c>
      <c r="B51" s="1363" t="s">
        <v>197</v>
      </c>
      <c r="C51" s="1363" t="s">
        <v>198</v>
      </c>
      <c r="D51" s="1363" t="s">
        <v>199</v>
      </c>
      <c r="E51" s="2259"/>
      <c r="F51" s="2259"/>
      <c r="G51" s="2259"/>
      <c r="H51" s="2259"/>
      <c r="I51" s="2286"/>
      <c r="J51" s="2256"/>
      <c r="K51" s="1363"/>
      <c r="L51" s="1364"/>
      <c r="P51" s="2257"/>
      <c r="Q51" s="2257"/>
      <c r="R51" s="356"/>
      <c r="S51" s="1278"/>
      <c r="T51" s="288" t="s">
        <v>413</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 xml:space="preserve">Добавить вид теплоносителя (параметры теплоносителя)</v>
      </c>
      <c r="AQ51" s="500"/>
      <c r="AR51" s="500"/>
      <c r="AS51" s="1155">
        <v>11</v>
      </c>
    </row>
    <row r="52" ht="11.5" customHeight="1">
      <c r="A52" s="1363" t="s">
        <v>196</v>
      </c>
      <c r="B52" s="1363" t="s">
        <v>197</v>
      </c>
      <c r="C52" s="1363" t="s">
        <v>198</v>
      </c>
      <c r="D52" s="1363" t="s">
        <v>199</v>
      </c>
      <c r="E52" s="2259"/>
      <c r="F52" s="2259"/>
      <c r="G52" s="2259"/>
      <c r="H52" s="2259"/>
      <c r="I52" s="2256"/>
      <c r="J52" s="1363"/>
      <c r="K52" s="1363"/>
      <c r="L52" s="1364"/>
      <c r="P52" s="2257"/>
      <c r="Q52" s="1331"/>
      <c r="R52" s="356"/>
      <c r="S52" s="1278"/>
      <c r="T52" s="287" t="s">
        <v>414</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 xml:space="preserve">Добавить группу потребителей</v>
      </c>
      <c r="AQ52" s="500"/>
      <c r="AR52" s="500"/>
      <c r="AS52" s="1155">
        <v>11</v>
      </c>
    </row>
    <row r="53" ht="14.65" customHeight="1">
      <c r="A53" s="1363" t="s">
        <v>196</v>
      </c>
      <c r="B53" s="1363" t="s">
        <v>197</v>
      </c>
      <c r="C53" s="1363" t="s">
        <v>198</v>
      </c>
      <c r="D53" s="1363" t="s">
        <v>199</v>
      </c>
      <c r="E53" s="2259"/>
      <c r="F53" s="2259"/>
      <c r="G53" s="2259"/>
      <c r="H53" s="2258"/>
      <c r="I53" s="1363"/>
      <c r="J53" s="1363"/>
      <c r="K53" s="1363"/>
      <c r="L53" s="1364"/>
      <c r="M53" s="1365"/>
      <c r="N53" s="1365"/>
      <c r="O53" s="537"/>
      <c r="P53" s="360"/>
      <c r="Q53" s="375"/>
      <c r="R53" s="355"/>
      <c r="S53" s="1278"/>
      <c r="T53" s="365" t="s">
        <v>415</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 xml:space="preserve">Добавить схему подключения</v>
      </c>
      <c r="AQ53" s="500"/>
      <c r="AR53" s="500"/>
      <c r="AS53" s="1155">
        <v>14</v>
      </c>
    </row>
    <row r="54" s="1642" customFormat="1" ht="1.05" customHeight="1">
      <c r="A54" s="1343" t="s">
        <v>196</v>
      </c>
      <c r="B54" s="1343" t="s">
        <v>197</v>
      </c>
      <c r="C54" s="1343" t="s">
        <v>198</v>
      </c>
      <c r="D54" s="1314"/>
      <c r="E54" s="2259"/>
      <c r="F54" s="2259"/>
      <c r="G54" s="2258"/>
      <c r="H54" s="1314"/>
      <c r="I54" s="1314"/>
      <c r="J54" s="1314"/>
      <c r="K54" s="1314"/>
      <c r="L54" s="1339"/>
      <c r="M54" s="1315"/>
      <c r="N54" s="1315"/>
      <c r="P54" s="1316"/>
      <c r="Q54" s="1317"/>
      <c r="R54" s="1316"/>
      <c r="S54" s="1322"/>
      <c r="T54" s="1325" t="s">
        <v>416</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 xml:space="preserve">Добавить источник для дифференциации</v>
      </c>
      <c r="AQ54" s="789"/>
      <c r="AR54" s="789"/>
      <c r="AS54" s="518">
        <v>1</v>
      </c>
    </row>
    <row r="55" s="1642" customFormat="1" ht="1.05" customHeight="1">
      <c r="A55" s="1343" t="s">
        <v>196</v>
      </c>
      <c r="B55" s="1343" t="s">
        <v>197</v>
      </c>
      <c r="C55" s="1314"/>
      <c r="D55" s="1314"/>
      <c r="E55" s="2259"/>
      <c r="F55" s="2258"/>
      <c r="G55" s="1314"/>
      <c r="H55" s="1314"/>
      <c r="I55" s="1314"/>
      <c r="J55" s="1314"/>
      <c r="K55" s="1314"/>
      <c r="L55" s="1339"/>
      <c r="M55" s="1321"/>
      <c r="N55" s="1321"/>
      <c r="P55" s="1316"/>
      <c r="Q55" s="1317"/>
      <c r="R55" s="1316"/>
      <c r="S55" s="1322"/>
      <c r="T55" s="1325" t="s">
        <v>417</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 xml:space="preserve">Добавить централизованную систему для дифференциации</v>
      </c>
      <c r="AQ55" s="789"/>
      <c r="AR55" s="789"/>
      <c r="AS55" s="518">
        <v>1</v>
      </c>
    </row>
    <row r="56" s="1642" customFormat="1" ht="1.05" customHeight="1">
      <c r="A56" s="1343" t="s">
        <v>196</v>
      </c>
      <c r="B56" s="1343"/>
      <c r="C56" s="1343"/>
      <c r="D56" s="1343"/>
      <c r="E56" s="2258"/>
      <c r="F56" s="1343"/>
      <c r="G56" s="1343"/>
      <c r="H56" s="1343"/>
      <c r="I56" s="1343"/>
      <c r="J56" s="1343"/>
      <c r="K56" s="1343"/>
      <c r="L56" s="1346"/>
      <c r="M56" s="1321"/>
      <c r="N56" s="1321"/>
      <c r="O56" s="518"/>
      <c r="P56" s="380"/>
      <c r="Q56" s="1344"/>
      <c r="R56" s="380"/>
      <c r="S56" s="1322"/>
      <c r="T56" s="1325" t="s">
        <v>418</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 xml:space="preserve">Добавить территорию для дифференциации</v>
      </c>
      <c r="AQ56" s="500"/>
      <c r="AR56" s="500"/>
      <c r="AS56" s="511">
        <v>1</v>
      </c>
    </row>
    <row r="57" s="1642" customFormat="1" ht="1.05" customHeight="1">
      <c r="A57" s="1314"/>
      <c r="B57" s="1314"/>
      <c r="C57" s="1314"/>
      <c r="D57" s="1314"/>
      <c r="E57" s="1343"/>
      <c r="F57" s="1314"/>
      <c r="G57" s="1314"/>
      <c r="H57" s="1314"/>
      <c r="I57" s="1314"/>
      <c r="J57" s="1314"/>
      <c r="K57" s="1314"/>
      <c r="L57" s="1339"/>
      <c r="M57" s="1321"/>
      <c r="N57" s="1321"/>
      <c r="P57" s="1316"/>
      <c r="Q57" s="1317"/>
      <c r="R57" s="1316"/>
      <c r="S57" s="1322"/>
      <c r="T57" s="1325" t="s">
        <v>450</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 xml:space="preserve">Добавить наименование тарифа</v>
      </c>
      <c r="AQ57" s="789"/>
      <c r="AR57" s="789"/>
      <c r="AS57" s="518">
        <v>1</v>
      </c>
    </row>
    <row r="58" ht="11.5" customHeight="1">
      <c r="M58" s="1160"/>
      <c r="N58" s="1160"/>
      <c r="O58" s="537"/>
      <c r="P58" s="1155"/>
      <c r="Q58" s="1155"/>
      <c r="R58" s="1155"/>
      <c r="S58" s="1155"/>
      <c r="AN58" s="1155"/>
      <c r="AO58" s="1155"/>
      <c r="AP58" s="1155"/>
      <c r="AQ58" s="1155"/>
      <c r="AR58" s="1155"/>
      <c r="AS58" s="1155">
        <v>11</v>
      </c>
    </row>
    <row r="59" ht="28.5" customHeight="1">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r="60" ht="78.75" customHeight="1">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r="61" ht="14.65" customHeight="1">
      <c r="O61" s="537"/>
      <c r="AS61" s="1155">
        <v>14</v>
      </c>
    </row>
    <row r="62" ht="18.75" customHeight="1">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r="63" ht="18.75" customHeight="1">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r="64" ht="39.75" customHeight="1">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r="65" ht="22.5" hidden="1" customHeight="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autoFilter="0" deleteColumns="0" deleteRows="0" formatColumns="0" formatRows="0" insertColumns="1" insertRows="0" sort="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4">
    <dataValidation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allowBlank="1" promptTitle="checkPeriodRange"/>
    <dataValidation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allowBlank="1" prompt="Для выбора выполните двойной щелчок левой клавиши мыши по соответствующей ячейке." showErrorMessage="1" showInputMessage="1"/>
    <dataValidation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llowBlank="1" prompt="Выберите дату из календаря (иконка справа от указанной ячейки), либо введите дату непосредственно в ячейку в формате - 'ДД.ММ.ГГГГ'." showErrorMessage="1" showInputMessage="1"/>
    <dataValidation sqref="S131123:AM131129 S196659:AM196665 S262195:AM262201 S327731:AM327737 S393267:AM393273 S458803:AM458809 S524339:AM524345 S589875:AM589881 S655411:AM655417 S720947:AM720953 S786483:AM786489 S852019:AM852025 S917555:AM917561 S983091:AM983097 S65587:AM65593" allowBlank="1"/>
  </dataValidations>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x14:dataValidation xr:uid="{005400F5-00DF-406B-8B22-0033002100AC}" type="textLength" allowBlank="1" error="Допускается ввод не более 900 символов!" errorTitle="Ошибка" operator="lessThanOrEqual" showErrorMessage="1" showInputMessage="1">
          <x14:formula1>
            <xm:f>900</xm:f>
          </x14:formula1>
          <xm:sqref>AM65579:AM65586 AM131115:AM131122 AM196651:AM196658 AM262187:AM262194 AM327723:AM327730 AM393259:AM393266 AM458795:AM458802 AM524331:AM524338 AM589867:AM589874 AM655403:AM655410 AM720939:AM720946 AM786475:AM786482 AM852011:AM852018 AM917547:AM917554 AM983083:AM983090</xm:sqref>
        </x14:dataValidation>
        <x14:dataValidation xr:uid="{003D0090-001A-44B3-80CB-00F800A700CB}" type="list" allowBlank="1" error="Выберите значение из списка" errorTitle="Ошибка" showErrorMessage="1" showInputMessage="1">
          <x14:formula1>
            <xm:f>kind_of_scheme_in</xm:f>
          </x14:formula1>
          <xm: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xm:sqref>
        </x14:dataValidation>
        <x14:dataValidation xr:uid="{00210088-0044-46B1-9B0C-00D900AA006C}" type="list" allowBlank="1" error="Выберите значение из списка" errorTitle="Ошибка" showErrorMessage="1" showInputMessage="1">
          <x14:formula1>
            <xm:f>kind_of_heat_transfer</xm:f>
          </x14:formula1>
          <xm:sqref>T65585 T131121 T196657 T262193 T327729 T393265 T458801 T524337 T589873 T655409 T720945 T786481 T852017 T917553 T983089</xm:sqref>
        </x14:dataValidation>
        <x14:dataValidation xr:uid="{0048008E-00E2-4D9B-924D-0095007400EB}" type="list" allowBlank="1" error="Выберите значение из списка" errorTitle="Ошибка" prompt="Выберите значение из списка" showInputMessage="1">
          <x14:formula1>
            <xm:f>kind_of_cons</xm:f>
          </x14:formula1>
          <xm:sqref>V983088:AL983088 V65584:AL65584 V131120:AL131120 V196656:AL196656 V262192:AL262192 V327728:AL327728 V393264:AL393264 V458800:AL458800 V524336:AL524336 V589872:AL589872 V655408:AL655408 V720944:AL720944 V786480:AL786480 V852016:AL852016 V917552:AL917552</xm:sqref>
        </x14:dataValidation>
      </x14:dataValidation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sheetPr>
  <sheetViews>
    <sheetView showGridLines="0" topLeftCell="A1" zoomScale="90" workbookViewId="0">
      <selection activeCell="A1" sqref="A1"/>
    </sheetView>
  </sheetViews>
  <sheetFormatPr defaultColWidth="10.57421875" defaultRowHeight="14.25" customHeight="1"/>
  <cols>
    <col hidden="1" min="1" max="1" style="1366" width="10.57421875"/>
    <col customWidth="1" hidden="1" min="2" max="2" style="1366" width="11.00390625"/>
    <col hidden="1" min="3" max="3" style="1366" width="10.57421875"/>
    <col customWidth="1" hidden="1" min="4" max="4" style="1366" width="11.8515625"/>
    <col customWidth="1" hidden="1" min="5" max="5" style="1366" width="10.00390625"/>
    <col customWidth="1" hidden="1" min="6" max="6" style="1366" width="8.7109375"/>
    <col customWidth="1" hidden="1" min="7" max="7" style="1366" width="7.57421875"/>
    <col customWidth="1" hidden="1" min="8" max="8" style="1366" width="11.421875"/>
    <col customWidth="1" hidden="1" min="9" max="9" style="1366" width="12.00390625"/>
    <col customWidth="1" hidden="1" min="10" max="10" style="1366" width="9.8515625"/>
    <col customWidth="1" hidden="1" min="11" max="11" style="1366" width="11.421875"/>
    <col customWidth="1" hidden="1" min="12" max="12" style="2607" width="19.140625"/>
    <col customWidth="1" hidden="1" min="13" max="14" style="1776" width="12.28125"/>
    <col customWidth="1" hidden="1" min="15" max="15" style="1776" width="23.421875"/>
    <col customWidth="1" hidden="1" min="16" max="16" style="2397" width="3.7109375"/>
    <col customWidth="1" min="17" max="18" style="344" width="3.00390625"/>
    <col customWidth="1" min="19" max="19" style="2407" width="12.00390625"/>
    <col customWidth="1" min="20" max="20" style="1635" width="31.00390625"/>
    <col customWidth="1" min="21" max="21" style="1635" width="0.140625"/>
    <col customWidth="1" hidden="1" min="22" max="22" style="1635" width="24.7109375"/>
    <col customWidth="1" hidden="1" min="23" max="23" style="1635" width="0.140625"/>
    <col customWidth="1" hidden="1" min="24" max="25" style="1635" width="24.7109375"/>
    <col customWidth="1" hidden="1" min="26" max="26" style="1635" width="11.7109375"/>
    <col customWidth="1" hidden="1" min="27" max="27" style="1635" width="3.7109375"/>
    <col customWidth="1" hidden="1" min="28" max="28" style="1635" width="11.7109375"/>
    <col customWidth="1" hidden="1" min="29" max="29" style="1635" width="8.57421875"/>
    <col customWidth="1" min="30" max="30" style="1635" width="24.7109375"/>
    <col customWidth="1" min="31" max="31" style="1635" width="0.140625"/>
    <col customWidth="1" min="32" max="33" style="1635" width="24.00390625"/>
    <col customWidth="1" min="34" max="34" style="1635" width="11.00390625"/>
    <col customWidth="1" min="35" max="35" style="1635" width="3.7109375"/>
    <col customWidth="1" min="36" max="36" style="1635" width="11.00390625"/>
    <col customWidth="1" hidden="1" min="37" max="37" style="1635" width="8.57421875"/>
    <col customWidth="1" min="38" max="38" style="1635" width="4.00390625"/>
    <col customWidth="1" min="39" max="39" style="1635" width="115.00390625"/>
    <col customWidth="1" min="40" max="44" style="1642" width="10.00390625"/>
    <col customWidth="1" hidden="1" min="45" max="45" style="1635" width="8.421875"/>
  </cols>
  <sheetData>
    <row r="1" ht="22.5" hidden="1" customHeight="1">
      <c r="Y1" s="327"/>
      <c r="Z1" s="327"/>
      <c r="AG1" s="327"/>
      <c r="AH1" s="327"/>
      <c r="AS1" s="1155" t="s">
        <v>14</v>
      </c>
    </row>
    <row r="2" ht="21" hidden="1" customHeight="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127</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398</v>
      </c>
      <c r="AO2" s="500"/>
      <c r="AP2" s="500" t="str">
        <f>IF(T2="","",T2)</f>
        <v xml:space="preserve">Наименование тарифа</v>
      </c>
      <c r="AQ2" s="500"/>
      <c r="AR2" s="500"/>
      <c r="AS2" s="1155">
        <v>0</v>
      </c>
    </row>
    <row r="3" ht="21" hidden="1" customHeight="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400</v>
      </c>
      <c r="AO3" s="500"/>
      <c r="AP3" s="500" t="str">
        <f>IF(T3="","",T3)</f>
        <v xml:space="preserve">Территория действия тарифа</v>
      </c>
      <c r="AQ3" s="500"/>
      <c r="AR3" s="500"/>
      <c r="AS3" s="1155">
        <v>0</v>
      </c>
    </row>
    <row r="4" ht="23.25" hidden="1" customHeight="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401</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402</v>
      </c>
      <c r="AO4" s="500"/>
      <c r="AP4" s="500" t="str">
        <f>IF(T4="","",T4)</f>
        <v xml:space="preserve">Наименование системы теплоснабжения</v>
      </c>
      <c r="AQ4" s="500"/>
      <c r="AR4" s="500"/>
      <c r="AS4" s="1155">
        <v>0</v>
      </c>
    </row>
    <row r="5" ht="21" hidden="1" customHeight="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403</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404</v>
      </c>
      <c r="AO5" s="500"/>
      <c r="AP5" s="500" t="str">
        <f>IF(T5="","",T5)</f>
        <v xml:space="preserve">Источник тепловой энергии</v>
      </c>
      <c r="AQ5" s="500"/>
      <c r="AR5" s="500"/>
      <c r="AS5" s="1155">
        <v>0</v>
      </c>
    </row>
    <row r="6" ht="14.25" hidden="1" customHeight="1">
      <c r="A6" s="1363"/>
      <c r="B6" s="1363"/>
      <c r="C6" s="1363"/>
      <c r="D6" s="1363"/>
      <c r="E6" s="2259"/>
      <c r="F6" s="2259"/>
      <c r="G6" s="2259"/>
      <c r="H6" s="2259"/>
      <c r="I6" s="2256">
        <f>S5&amp;".1"</f>
      </c>
      <c r="J6" s="1363"/>
      <c r="K6" s="1363"/>
      <c r="L6" s="1364" t="s">
        <v>405</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r="7" ht="21" hidden="1" customHeight="1">
      <c r="A7" s="1363"/>
      <c r="B7" s="1363"/>
      <c r="C7" s="1363"/>
      <c r="D7" s="1363"/>
      <c r="E7" s="2259"/>
      <c r="F7" s="2259"/>
      <c r="G7" s="2259"/>
      <c r="H7" s="2259"/>
      <c r="I7" s="2286"/>
      <c r="J7" s="2256">
        <f>I6&amp;".1"</f>
      </c>
      <c r="K7" s="1363"/>
      <c r="L7" s="1364" t="s">
        <v>408</v>
      </c>
      <c r="M7" s="537"/>
      <c r="N7" s="1366"/>
      <c r="P7" s="2257"/>
      <c r="Q7" s="2257">
        <v>1</v>
      </c>
      <c r="R7" s="357"/>
      <c r="S7" s="1336">
        <f>$J7</f>
      </c>
      <c r="T7" s="286" t="s">
        <v>409</v>
      </c>
      <c r="U7" s="300"/>
      <c r="V7" s="2245"/>
      <c r="W7" s="2246"/>
      <c r="X7" s="2246"/>
      <c r="Y7" s="2246"/>
      <c r="Z7" s="2246"/>
      <c r="AA7" s="2246"/>
      <c r="AB7" s="2246"/>
      <c r="AC7" s="2247"/>
      <c r="AD7" s="2245"/>
      <c r="AE7" s="2246"/>
      <c r="AF7" s="2246"/>
      <c r="AG7" s="2246"/>
      <c r="AH7" s="2246"/>
      <c r="AI7" s="2246"/>
      <c r="AJ7" s="2246"/>
      <c r="AK7" s="2246"/>
      <c r="AL7" s="2247"/>
      <c r="AM7" s="1258" t="s">
        <v>410</v>
      </c>
      <c r="AO7" s="500"/>
      <c r="AP7" s="500" t="str">
        <f>IF(T7="","",T7)</f>
        <v xml:space="preserve">Группа потребителей</v>
      </c>
      <c r="AQ7" s="500"/>
      <c r="AR7" s="500"/>
      <c r="AS7" s="1155">
        <v>0</v>
      </c>
    </row>
    <row r="8" ht="21" hidden="1" customHeight="1">
      <c r="A8" s="1363"/>
      <c r="B8" s="1363"/>
      <c r="C8" s="1363"/>
      <c r="D8" s="1363"/>
      <c r="E8" s="2259"/>
      <c r="F8" s="2259"/>
      <c r="G8" s="2259"/>
      <c r="H8" s="2259"/>
      <c r="I8" s="2286"/>
      <c r="J8" s="2286"/>
      <c r="K8" s="2256">
        <f>J7&amp;".1"</f>
      </c>
      <c r="L8" s="1364" t="s">
        <v>411</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412</v>
      </c>
      <c r="AN8" s="511">
        <f>STRCHECKDATE(V9:AL9)</f>
      </c>
      <c r="AO8" s="500"/>
      <c r="AP8" s="500" t="str">
        <f>IF(T8="","",T8)</f>
        <v/>
      </c>
      <c r="AQ8" s="500"/>
      <c r="AR8" s="500"/>
      <c r="AS8" s="1155">
        <v>0</v>
      </c>
    </row>
    <row r="9" ht="0.75" hidden="1" customHeight="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r="10" ht="15" hidden="1" customHeight="1">
      <c r="A10" s="1363"/>
      <c r="B10" s="1363"/>
      <c r="C10" s="1363"/>
      <c r="D10" s="1363"/>
      <c r="E10" s="2259"/>
      <c r="F10" s="2259"/>
      <c r="G10" s="2259"/>
      <c r="H10" s="2259"/>
      <c r="I10" s="2286"/>
      <c r="J10" s="2256"/>
      <c r="K10" s="1363"/>
      <c r="L10" s="1364"/>
      <c r="M10" s="537"/>
      <c r="N10" s="1366"/>
      <c r="P10" s="2257"/>
      <c r="Q10" s="2257"/>
      <c r="R10" s="356"/>
      <c r="S10" s="1278"/>
      <c r="T10" s="287" t="s">
        <v>413</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 xml:space="preserve">Добавить вид теплоносителя (параметры теплоносителя)</v>
      </c>
      <c r="AQ10" s="500"/>
      <c r="AR10" s="500"/>
      <c r="AS10" s="1155">
        <v>0</v>
      </c>
    </row>
    <row r="11" ht="15" hidden="1" customHeight="1">
      <c r="A11" s="1363"/>
      <c r="B11" s="1363"/>
      <c r="C11" s="1363"/>
      <c r="D11" s="1363"/>
      <c r="E11" s="2259"/>
      <c r="F11" s="2259"/>
      <c r="G11" s="2259"/>
      <c r="H11" s="2259"/>
      <c r="I11" s="2256"/>
      <c r="J11" s="1363"/>
      <c r="K11" s="1363"/>
      <c r="L11" s="1364"/>
      <c r="M11" s="537"/>
      <c r="P11" s="2257"/>
      <c r="Q11" s="1331"/>
      <c r="R11" s="356"/>
      <c r="S11" s="1278"/>
      <c r="T11" s="365" t="s">
        <v>414</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 xml:space="preserve">Добавить группу потребителей</v>
      </c>
      <c r="AQ11" s="500"/>
      <c r="AR11" s="500"/>
      <c r="AS11" s="1155">
        <v>0</v>
      </c>
    </row>
    <row r="12" ht="14.25" hidden="1" customHeight="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r="13" s="1642" customFormat="1" ht="0.75" hidden="1" customHeight="1">
      <c r="A13" s="1314"/>
      <c r="B13" s="1314"/>
      <c r="C13" s="1314"/>
      <c r="D13" s="1314"/>
      <c r="E13" s="2259"/>
      <c r="F13" s="2259"/>
      <c r="G13" s="2258"/>
      <c r="H13" s="1314"/>
      <c r="I13" s="1314"/>
      <c r="J13" s="1314"/>
      <c r="K13" s="1314"/>
      <c r="L13" s="1339"/>
      <c r="M13" s="1315"/>
      <c r="N13" s="1315"/>
      <c r="P13" s="1316"/>
      <c r="Q13" s="1317"/>
      <c r="R13" s="1316"/>
      <c r="S13" s="1318"/>
      <c r="T13" s="1319" t="s">
        <v>416</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 xml:space="preserve">Добавить источник для дифференциации</v>
      </c>
      <c r="AQ13" s="789"/>
      <c r="AR13" s="789"/>
      <c r="AS13" s="518">
        <v>0</v>
      </c>
    </row>
    <row r="14" s="1642" customFormat="1" ht="0.75" hidden="1" customHeight="1">
      <c r="A14" s="1314"/>
      <c r="B14" s="1314"/>
      <c r="C14" s="1314"/>
      <c r="D14" s="1314"/>
      <c r="E14" s="2259"/>
      <c r="F14" s="2258"/>
      <c r="G14" s="1314"/>
      <c r="H14" s="1314"/>
      <c r="I14" s="1314"/>
      <c r="J14" s="1314"/>
      <c r="K14" s="1314"/>
      <c r="L14" s="1339"/>
      <c r="M14" s="1321"/>
      <c r="N14" s="1321"/>
      <c r="P14" s="1316"/>
      <c r="Q14" s="1317"/>
      <c r="R14" s="1316"/>
      <c r="S14" s="1322"/>
      <c r="T14" s="1323" t="s">
        <v>417</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 xml:space="preserve">Добавить централизованную систему для дифференциации</v>
      </c>
      <c r="AQ14" s="789"/>
      <c r="AR14" s="789"/>
      <c r="AS14" s="518">
        <v>0</v>
      </c>
    </row>
    <row r="15" s="1642" customFormat="1" ht="0.75" hidden="1" customHeight="1">
      <c r="A15" s="1314"/>
      <c r="B15" s="1314"/>
      <c r="C15" s="1314"/>
      <c r="D15" s="1314"/>
      <c r="E15" s="2258"/>
      <c r="F15" s="1314"/>
      <c r="G15" s="1314"/>
      <c r="H15" s="1314"/>
      <c r="I15" s="1314"/>
      <c r="J15" s="1314"/>
      <c r="K15" s="1314"/>
      <c r="L15" s="1339"/>
      <c r="M15" s="1321"/>
      <c r="N15" s="1321"/>
      <c r="P15" s="1316"/>
      <c r="Q15" s="1317"/>
      <c r="R15" s="1316"/>
      <c r="S15" s="1322"/>
      <c r="T15" s="1325" t="s">
        <v>418</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 xml:space="preserve">Добавить территорию для дифференциации</v>
      </c>
      <c r="AQ15" s="789"/>
      <c r="AR15" s="789"/>
      <c r="AS15" s="518">
        <v>0</v>
      </c>
    </row>
    <row r="16" ht="14.25" hidden="1" customHeight="1">
      <c r="AC16" s="327"/>
      <c r="AK16" s="327"/>
      <c r="AS16" s="1155">
        <v>0</v>
      </c>
    </row>
    <row r="17" ht="14.25" hidden="1" customHeight="1">
      <c r="AD17" s="1360"/>
      <c r="AE17" s="1360"/>
      <c r="AF17" s="1360"/>
      <c r="AG17" s="1361"/>
      <c r="AH17" s="2267"/>
      <c r="AI17" s="2268" t="s">
        <v>65</v>
      </c>
      <c r="AJ17" s="2267"/>
      <c r="AK17" s="2268" t="s">
        <v>65</v>
      </c>
      <c r="AS17" s="1155">
        <v>0</v>
      </c>
    </row>
    <row r="18" ht="14.25" hidden="1" customHeight="1">
      <c r="AD18" s="1360"/>
      <c r="AE18" s="1360"/>
      <c r="AF18" s="1360"/>
      <c r="AG18" s="328" t="str">
        <f>AH17&amp;"-"&amp;AJ17</f>
        <v>-</v>
      </c>
      <c r="AH18" s="2268"/>
      <c r="AI18" s="2268"/>
      <c r="AJ18" s="2268"/>
      <c r="AK18" s="2268"/>
      <c r="AS18" s="1155">
        <v>0</v>
      </c>
    </row>
    <row r="19" ht="14.25" hidden="1" customHeight="1">
      <c r="AK19" s="327"/>
      <c r="AS19" s="1155">
        <v>0</v>
      </c>
    </row>
    <row r="20" s="1366" customFormat="1" ht="22.5" hidden="1" customHeight="1">
      <c r="L20" s="1329"/>
      <c r="M20" s="1362"/>
      <c r="N20" s="1362"/>
      <c r="O20" s="1367" t="s">
        <v>419</v>
      </c>
      <c r="P20" s="1362"/>
      <c r="Q20" s="1371"/>
      <c r="R20" s="1371"/>
      <c r="S20" s="729"/>
      <c r="Z20" s="1367"/>
      <c r="AB20" s="1367"/>
      <c r="AC20" s="1366"/>
      <c r="AH20" s="1367"/>
      <c r="AJ20" s="1367"/>
      <c r="AK20" s="1366"/>
      <c r="AN20" s="511"/>
      <c r="AO20" s="511"/>
      <c r="AP20" s="511"/>
      <c r="AQ20" s="511"/>
      <c r="AR20" s="511"/>
      <c r="AS20" s="1160">
        <v>0</v>
      </c>
    </row>
    <row r="21" s="1366" customFormat="1" ht="14.25" hidden="1" customHeight="1">
      <c r="L21" s="1329"/>
      <c r="M21" s="1362"/>
      <c r="N21" s="1362"/>
      <c r="O21" s="1362"/>
      <c r="P21" s="1362"/>
      <c r="Q21" s="1371"/>
      <c r="R21" s="1371"/>
      <c r="S21" s="729"/>
      <c r="AC21" s="1366"/>
      <c r="AK21" s="1366"/>
      <c r="AN21" s="511"/>
      <c r="AO21" s="511"/>
      <c r="AP21" s="511"/>
      <c r="AQ21" s="511"/>
      <c r="AR21" s="511"/>
      <c r="AS21" s="1160">
        <v>0</v>
      </c>
    </row>
    <row r="22" s="1366" customFormat="1" ht="14.25" hidden="1" customHeight="1">
      <c r="L22" s="1329"/>
      <c r="M22" s="1362"/>
      <c r="N22" s="1362"/>
      <c r="O22" s="1364" t="s">
        <v>420</v>
      </c>
      <c r="P22" s="1362"/>
      <c r="Q22" s="1371"/>
      <c r="R22" s="1371"/>
      <c r="S22" s="729"/>
      <c r="T22" s="1160" t="s">
        <v>421</v>
      </c>
      <c r="AA22" s="186" t="s">
        <v>422</v>
      </c>
      <c r="AC22" s="186" t="s">
        <v>423</v>
      </c>
      <c r="AD22" s="1160" t="s">
        <v>421</v>
      </c>
      <c r="AI22" s="186" t="s">
        <v>424</v>
      </c>
      <c r="AK22" s="186" t="s">
        <v>423</v>
      </c>
      <c r="AN22" s="511"/>
      <c r="AO22" s="511"/>
      <c r="AP22" s="511"/>
      <c r="AQ22" s="511"/>
      <c r="AR22" s="511"/>
      <c r="AS22" s="1160">
        <v>0</v>
      </c>
    </row>
    <row r="23" ht="14.25" hidden="1" customHeight="1">
      <c r="O23" s="1364"/>
      <c r="AS23" s="1155">
        <v>0</v>
      </c>
    </row>
    <row r="24" ht="14.25" hidden="1" customHeight="1">
      <c r="O24" s="1364"/>
      <c r="AS24" s="1155">
        <v>0</v>
      </c>
    </row>
    <row r="25" ht="14.65" customHeight="1">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r="26" ht="63" customHeight="1">
      <c r="Q26" s="376"/>
      <c r="R26" s="376"/>
      <c r="S26" s="2248" t="str">
        <f>IF(TEMPLATE_GROUP="P",PT_P_FORM_HEAT_5_NAME_FORM,PT_R_FORM_HEAT_22_NAME_FORM)</f>
        <v xml:space="preserve">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r="27" ht="14.65" customHeight="1">
      <c r="Q27" s="376"/>
      <c r="R27" s="376"/>
      <c r="S27" s="2249" t="str">
        <f>IF(org=0,"Не определено",org)</f>
        <v xml:space="preserve">филиал ПАО "ОГК-2" - Рязанская ГРЭС</v>
      </c>
      <c r="T27" s="2249"/>
      <c r="U27" s="2249"/>
      <c r="V27" s="2249"/>
      <c r="W27" s="2249"/>
      <c r="X27" s="2249"/>
      <c r="Y27" s="2249"/>
      <c r="Z27" s="2249"/>
      <c r="AA27" s="2249"/>
      <c r="AB27" s="2249"/>
      <c r="AC27" s="2249"/>
      <c r="AD27" s="2249"/>
      <c r="AE27" s="2249"/>
      <c r="AF27" s="2249"/>
      <c r="AG27" s="2249"/>
      <c r="AH27" s="2249"/>
      <c r="AI27" s="2249"/>
      <c r="AJ27" s="2249"/>
      <c r="AK27" s="1243"/>
      <c r="AS27" s="1155">
        <v>14</v>
      </c>
    </row>
    <row r="28" ht="14.25" hidden="1" customHeight="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r="29" s="1853" customFormat="1" ht="25.5" hidden="1" customHeight="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r="30" s="1853" customFormat="1" ht="18.75" hidden="1" customHeight="1">
      <c r="A30" s="1368"/>
      <c r="B30" s="1368"/>
      <c r="C30" s="1368"/>
      <c r="D30" s="1368"/>
      <c r="E30" s="1368"/>
      <c r="F30" s="1368"/>
      <c r="G30" s="1368"/>
      <c r="H30" s="1368"/>
      <c r="I30" s="1368"/>
      <c r="J30" s="1368"/>
      <c r="K30" s="1368"/>
      <c r="L30" s="1369"/>
      <c r="M30" s="1368"/>
      <c r="N30" s="1368"/>
      <c r="O30" s="1368"/>
      <c r="S30" s="2250" t="s">
        <v>425</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r="31" s="1853" customFormat="1" ht="18.75" hidden="1" customHeight="1">
      <c r="A31" s="1368"/>
      <c r="B31" s="1368"/>
      <c r="C31" s="1368"/>
      <c r="D31" s="1368"/>
      <c r="E31" s="1368"/>
      <c r="F31" s="1368"/>
      <c r="G31" s="1368"/>
      <c r="H31" s="1368"/>
      <c r="I31" s="1368"/>
      <c r="J31" s="1368"/>
      <c r="K31" s="1368"/>
      <c r="L31" s="1369"/>
      <c r="M31" s="1368"/>
      <c r="N31" s="1368"/>
      <c r="O31" s="1368"/>
      <c r="S31" s="2250" t="s">
        <v>426</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r="32" s="1853" customFormat="1" ht="18.75" hidden="1" customHeight="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r="33" ht="14.25" hidden="1" customHeight="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r="34" s="1853" customFormat="1" ht="18.75" hidden="1" customHeight="1">
      <c r="A34" s="1368"/>
      <c r="B34" s="1368"/>
      <c r="C34" s="1368"/>
      <c r="D34" s="1368"/>
      <c r="E34" s="1368"/>
      <c r="F34" s="1368"/>
      <c r="G34" s="1368"/>
      <c r="H34" s="1368"/>
      <c r="I34" s="1368"/>
      <c r="J34" s="1368"/>
      <c r="K34" s="1368"/>
      <c r="L34" s="1369"/>
      <c r="M34" s="1368"/>
      <c r="N34" s="1368"/>
      <c r="O34" s="1368"/>
      <c r="S34" s="2250" t="s">
        <v>427</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r="35" s="1853" customFormat="1" ht="18.75" hidden="1" customHeight="1">
      <c r="A35" s="1368"/>
      <c r="B35" s="1368"/>
      <c r="C35" s="1368"/>
      <c r="D35" s="1368"/>
      <c r="E35" s="1368"/>
      <c r="F35" s="1368"/>
      <c r="G35" s="1368"/>
      <c r="H35" s="1368"/>
      <c r="I35" s="1368"/>
      <c r="J35" s="1368"/>
      <c r="K35" s="1368"/>
      <c r="L35" s="1369"/>
      <c r="M35" s="1368"/>
      <c r="N35" s="1368"/>
      <c r="O35" s="1368"/>
      <c r="S35" s="2250" t="s">
        <v>428</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r="36" s="1853" customFormat="1" ht="0" customHeight="1">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429</v>
      </c>
      <c r="AD36" s="326"/>
      <c r="AE36" s="326"/>
      <c r="AF36" s="326"/>
      <c r="AG36" s="326"/>
      <c r="AH36" s="326"/>
      <c r="AI36" s="326"/>
      <c r="AJ36" s="326"/>
      <c r="AK36" s="278" t="s">
        <v>429</v>
      </c>
      <c r="AN36" s="368"/>
      <c r="AO36" s="368"/>
      <c r="AP36" s="368"/>
      <c r="AQ36" s="368"/>
      <c r="AR36" s="368"/>
      <c r="AS36" s="418">
        <v>0</v>
      </c>
    </row>
    <row r="37" ht="14.65" customHeight="1">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r="38" ht="14.65" customHeight="1">
      <c r="Q38" s="376"/>
      <c r="R38" s="376"/>
      <c r="S38" s="2127" t="s">
        <v>302</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303</v>
      </c>
      <c r="AS38" s="1155">
        <v>14</v>
      </c>
    </row>
    <row r="39" ht="14.65" customHeight="1">
      <c r="Q39" s="376"/>
      <c r="R39" s="376"/>
      <c r="S39" s="2273" t="s">
        <v>87</v>
      </c>
      <c r="T39" s="2209" t="s">
        <v>430</v>
      </c>
      <c r="U39" s="301"/>
      <c r="V39" s="2274" t="s">
        <v>431</v>
      </c>
      <c r="W39" s="2275"/>
      <c r="X39" s="2275"/>
      <c r="Y39" s="2275"/>
      <c r="Z39" s="2275"/>
      <c r="AA39" s="2275"/>
      <c r="AB39" s="2276"/>
      <c r="AC39" s="2277" t="s">
        <v>432</v>
      </c>
      <c r="AD39" s="2274" t="s">
        <v>431</v>
      </c>
      <c r="AE39" s="2275"/>
      <c r="AF39" s="2275"/>
      <c r="AG39" s="2275"/>
      <c r="AH39" s="2275"/>
      <c r="AI39" s="2275"/>
      <c r="AJ39" s="2276"/>
      <c r="AK39" s="2277" t="s">
        <v>433</v>
      </c>
      <c r="AL39" s="2280" t="s">
        <v>434</v>
      </c>
      <c r="AM39" s="2127"/>
      <c r="AS39" s="1155">
        <v>14</v>
      </c>
    </row>
    <row r="40" ht="35.649999999999999" customHeight="1">
      <c r="Q40" s="376"/>
      <c r="R40" s="376"/>
      <c r="S40" s="2273"/>
      <c r="T40" s="2209"/>
      <c r="U40" s="1031"/>
      <c r="V40" s="2260" t="s">
        <v>435</v>
      </c>
      <c r="W40" s="2283"/>
      <c r="X40" s="2262" t="s">
        <v>437</v>
      </c>
      <c r="Y40" s="2263"/>
      <c r="Z40" s="2262" t="s">
        <v>438</v>
      </c>
      <c r="AA40" s="2269"/>
      <c r="AB40" s="2263"/>
      <c r="AC40" s="2278"/>
      <c r="AD40" s="2260" t="s">
        <v>452</v>
      </c>
      <c r="AE40" s="2283"/>
      <c r="AF40" s="2262" t="s">
        <v>437</v>
      </c>
      <c r="AG40" s="2263"/>
      <c r="AH40" s="2262" t="s">
        <v>438</v>
      </c>
      <c r="AI40" s="2269"/>
      <c r="AJ40" s="2263"/>
      <c r="AK40" s="2278"/>
      <c r="AL40" s="2281"/>
      <c r="AM40" s="2127"/>
      <c r="AS40" s="1155">
        <v>34</v>
      </c>
    </row>
    <row r="41" ht="35.649999999999999" customHeight="1">
      <c r="A41" s="1370"/>
      <c r="B41" s="1370" t="s">
        <v>139</v>
      </c>
      <c r="C41" s="1370" t="s">
        <v>140</v>
      </c>
      <c r="D41" s="1370" t="s">
        <v>141</v>
      </c>
      <c r="E41" s="1364" t="s">
        <v>439</v>
      </c>
      <c r="F41" s="1364" t="s">
        <v>440</v>
      </c>
      <c r="G41" s="1364" t="s">
        <v>441</v>
      </c>
      <c r="H41" s="1364" t="s">
        <v>442</v>
      </c>
      <c r="I41" s="1364" t="s">
        <v>443</v>
      </c>
      <c r="J41" s="1364" t="s">
        <v>444</v>
      </c>
      <c r="K41" s="1364" t="s">
        <v>445</v>
      </c>
      <c r="L41" s="1364" t="s">
        <v>420</v>
      </c>
      <c r="Q41" s="376"/>
      <c r="R41" s="376"/>
      <c r="S41" s="2273"/>
      <c r="T41" s="2209"/>
      <c r="U41" s="302"/>
      <c r="V41" s="2261"/>
      <c r="W41" s="2284"/>
      <c r="X41" s="1222" t="s">
        <v>446</v>
      </c>
      <c r="Y41" s="1222" t="s">
        <v>447</v>
      </c>
      <c r="Z41" s="1338" t="s">
        <v>448</v>
      </c>
      <c r="AA41" s="2270" t="s">
        <v>449</v>
      </c>
      <c r="AB41" s="2271"/>
      <c r="AC41" s="2279"/>
      <c r="AD41" s="2261"/>
      <c r="AE41" s="2284"/>
      <c r="AF41" s="1222" t="s">
        <v>446</v>
      </c>
      <c r="AG41" s="1222" t="s">
        <v>447</v>
      </c>
      <c r="AH41" s="1338" t="s">
        <v>448</v>
      </c>
      <c r="AI41" s="2270" t="s">
        <v>449</v>
      </c>
      <c r="AJ41" s="2271"/>
      <c r="AK41" s="2279"/>
      <c r="AL41" s="2282"/>
      <c r="AM41" s="2127"/>
      <c r="AS41" s="1155">
        <v>34</v>
      </c>
    </row>
    <row r="42" s="1641" customFormat="1" ht="11.25" hidden="1" customHeight="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r="43" ht="22" customHeight="1">
      <c r="A43" s="1363" t="s">
        <v>172</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127</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 xml:space="preserve">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 xml:space="preserve">Наименование тарифа</v>
      </c>
      <c r="AQ43" s="500"/>
      <c r="AR43" s="500"/>
      <c r="AS43" s="1155">
        <v>21</v>
      </c>
    </row>
    <row r="44" ht="22" customHeight="1">
      <c r="A44" s="1363" t="s">
        <v>172</v>
      </c>
      <c r="B44" s="1363" t="s">
        <v>173</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400</v>
      </c>
      <c r="AO44" s="500"/>
      <c r="AP44" s="500" t="str">
        <f>IF(T44="","",T44)</f>
        <v xml:space="preserve">Территория действия тарифа</v>
      </c>
      <c r="AQ44" s="500"/>
      <c r="AR44" s="500"/>
      <c r="AS44" s="1155">
        <v>21</v>
      </c>
    </row>
    <row r="45" ht="24" customHeight="1">
      <c r="A45" s="1363" t="s">
        <v>172</v>
      </c>
      <c r="B45" s="1363" t="s">
        <v>173</v>
      </c>
      <c r="C45" s="1363" t="s">
        <v>174</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402</v>
      </c>
      <c r="AO45" s="500"/>
      <c r="AP45" s="500" t="str">
        <f>IF(T45="","",T45)</f>
        <v xml:space="preserve">Наименование системы теплоснабжения</v>
      </c>
      <c r="AQ45" s="500"/>
      <c r="AR45" s="500"/>
      <c r="AS45" s="1155">
        <v>23</v>
      </c>
    </row>
    <row r="46" ht="22" customHeight="1">
      <c r="A46" s="1363" t="s">
        <v>172</v>
      </c>
      <c r="B46" s="1363" t="s">
        <v>173</v>
      </c>
      <c r="C46" s="1363" t="s">
        <v>174</v>
      </c>
      <c r="D46" s="1363" t="s">
        <v>175</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404</v>
      </c>
      <c r="AO46" s="500"/>
      <c r="AP46" s="500" t="str">
        <f>IF(T46="","",T46)</f>
        <v xml:space="preserve">Источник тепловой энергии</v>
      </c>
      <c r="AQ46" s="500"/>
      <c r="AR46" s="500"/>
      <c r="AS46" s="1155">
        <v>21</v>
      </c>
    </row>
    <row r="47" s="1642" customFormat="1" ht="0" customHeight="1">
      <c r="A47" s="1343" t="s">
        <v>172</v>
      </c>
      <c r="B47" s="1343" t="s">
        <v>173</v>
      </c>
      <c r="C47" s="1343" t="s">
        <v>174</v>
      </c>
      <c r="D47" s="1343" t="s">
        <v>175</v>
      </c>
      <c r="E47" s="2259"/>
      <c r="F47" s="2259"/>
      <c r="G47" s="2259"/>
      <c r="H47" s="2259"/>
      <c r="I47" s="2256" t="str">
        <f>S46&amp;".1"</f>
        <v>....1</v>
      </c>
      <c r="J47" s="1343"/>
      <c r="K47" s="1343"/>
      <c r="L47" s="1346" t="s">
        <v>405</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r="48" ht="22" customHeight="1">
      <c r="A48" s="1363" t="s">
        <v>172</v>
      </c>
      <c r="B48" s="1363" t="s">
        <v>173</v>
      </c>
      <c r="C48" s="1363" t="s">
        <v>174</v>
      </c>
      <c r="D48" s="1363" t="s">
        <v>175</v>
      </c>
      <c r="E48" s="2259"/>
      <c r="F48" s="2259"/>
      <c r="G48" s="2259"/>
      <c r="H48" s="2259"/>
      <c r="I48" s="2286"/>
      <c r="J48" s="2256" t="str">
        <f>S46&amp;".1"</f>
        <v>....1</v>
      </c>
      <c r="K48" s="1363"/>
      <c r="L48" s="1364" t="s">
        <v>408</v>
      </c>
      <c r="P48" s="2257"/>
      <c r="Q48" s="2257">
        <v>1</v>
      </c>
      <c r="R48" s="357"/>
      <c r="S48" s="1336" t="str">
        <f>$J48</f>
        <v>....1</v>
      </c>
      <c r="T48" s="286" t="s">
        <v>409</v>
      </c>
      <c r="U48" s="300"/>
      <c r="V48" s="2245"/>
      <c r="W48" s="2246"/>
      <c r="X48" s="2246"/>
      <c r="Y48" s="2246"/>
      <c r="Z48" s="2246"/>
      <c r="AA48" s="2246"/>
      <c r="AB48" s="2246"/>
      <c r="AC48" s="2247"/>
      <c r="AD48" s="2245"/>
      <c r="AE48" s="2246"/>
      <c r="AF48" s="2246"/>
      <c r="AG48" s="2246"/>
      <c r="AH48" s="2246"/>
      <c r="AI48" s="2246"/>
      <c r="AJ48" s="2246"/>
      <c r="AK48" s="2246"/>
      <c r="AL48" s="2247"/>
      <c r="AM48" s="1258" t="s">
        <v>410</v>
      </c>
      <c r="AO48" s="500"/>
      <c r="AP48" s="500" t="str">
        <f>IF(T48="","",T48)</f>
        <v xml:space="preserve">Группа потребителей</v>
      </c>
      <c r="AQ48" s="500"/>
      <c r="AR48" s="500"/>
      <c r="AS48" s="1155">
        <v>21</v>
      </c>
    </row>
    <row r="49" ht="22" customHeight="1">
      <c r="A49" s="1363" t="s">
        <v>172</v>
      </c>
      <c r="B49" s="1363" t="s">
        <v>173</v>
      </c>
      <c r="C49" s="1363" t="s">
        <v>174</v>
      </c>
      <c r="D49" s="1363" t="s">
        <v>175</v>
      </c>
      <c r="E49" s="2259"/>
      <c r="F49" s="2259"/>
      <c r="G49" s="2259"/>
      <c r="H49" s="2259"/>
      <c r="I49" s="2286"/>
      <c r="J49" s="2286"/>
      <c r="K49" s="2256" t="str">
        <f>J48&amp;".1"</f>
        <v>....1.1</v>
      </c>
      <c r="L49" s="1364" t="s">
        <v>411</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453</v>
      </c>
      <c r="AN49" s="511">
        <f>STRCHECKDATE(V50:AL50)</f>
      </c>
      <c r="AO49" s="500"/>
      <c r="AP49" s="500" t="str">
        <f>IF(T49="","",T49)</f>
        <v/>
      </c>
      <c r="AQ49" s="500"/>
      <c r="AR49" s="500"/>
      <c r="AS49" s="1155">
        <v>21</v>
      </c>
    </row>
    <row r="50" ht="1.05" customHeight="1">
      <c r="A50" s="1363" t="s">
        <v>172</v>
      </c>
      <c r="B50" s="1363" t="s">
        <v>173</v>
      </c>
      <c r="C50" s="1363" t="s">
        <v>174</v>
      </c>
      <c r="D50" s="1363" t="s">
        <v>175</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r="51" ht="11.5" customHeight="1">
      <c r="A51" s="1363" t="s">
        <v>172</v>
      </c>
      <c r="B51" s="1363" t="s">
        <v>173</v>
      </c>
      <c r="C51" s="1363" t="s">
        <v>174</v>
      </c>
      <c r="D51" s="1363" t="s">
        <v>175</v>
      </c>
      <c r="E51" s="2259"/>
      <c r="F51" s="2259"/>
      <c r="G51" s="2259"/>
      <c r="H51" s="2259"/>
      <c r="I51" s="2286"/>
      <c r="J51" s="2256"/>
      <c r="K51" s="1363"/>
      <c r="L51" s="1364"/>
      <c r="P51" s="2257"/>
      <c r="Q51" s="2257"/>
      <c r="R51" s="356"/>
      <c r="S51" s="1278"/>
      <c r="T51" s="287" t="s">
        <v>413</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 xml:space="preserve">Добавить вид теплоносителя (параметры теплоносителя)</v>
      </c>
      <c r="AQ51" s="500"/>
      <c r="AR51" s="500"/>
      <c r="AS51" s="1155">
        <v>11</v>
      </c>
    </row>
    <row r="52" ht="11.5" customHeight="1">
      <c r="A52" s="1363" t="s">
        <v>172</v>
      </c>
      <c r="B52" s="1363" t="s">
        <v>173</v>
      </c>
      <c r="C52" s="1363" t="s">
        <v>174</v>
      </c>
      <c r="D52" s="1363" t="s">
        <v>175</v>
      </c>
      <c r="E52" s="2259"/>
      <c r="F52" s="2259"/>
      <c r="G52" s="2259"/>
      <c r="H52" s="2259"/>
      <c r="I52" s="2256"/>
      <c r="J52" s="1363"/>
      <c r="K52" s="1363"/>
      <c r="L52" s="1364"/>
      <c r="P52" s="2257"/>
      <c r="Q52" s="1331"/>
      <c r="R52" s="356"/>
      <c r="S52" s="1278"/>
      <c r="T52" s="365" t="s">
        <v>414</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 xml:space="preserve">Добавить группу потребителей</v>
      </c>
      <c r="AQ52" s="500"/>
      <c r="AR52" s="500"/>
      <c r="AS52" s="1155">
        <v>11</v>
      </c>
    </row>
    <row r="53" ht="0" customHeight="1">
      <c r="A53" s="1363" t="s">
        <v>172</v>
      </c>
      <c r="B53" s="1363" t="s">
        <v>173</v>
      </c>
      <c r="C53" s="1363" t="s">
        <v>174</v>
      </c>
      <c r="D53" s="1363" t="s">
        <v>175</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r="54" s="1642" customFormat="1" ht="1.05" customHeight="1">
      <c r="A54" s="1343" t="s">
        <v>172</v>
      </c>
      <c r="B54" s="1343" t="s">
        <v>173</v>
      </c>
      <c r="C54" s="1343" t="s">
        <v>174</v>
      </c>
      <c r="D54" s="1314"/>
      <c r="E54" s="2259"/>
      <c r="F54" s="2259"/>
      <c r="G54" s="2258"/>
      <c r="H54" s="1314"/>
      <c r="I54" s="1314"/>
      <c r="J54" s="1314"/>
      <c r="K54" s="1314"/>
      <c r="L54" s="1339"/>
      <c r="M54" s="1315"/>
      <c r="N54" s="1315"/>
      <c r="P54" s="1316"/>
      <c r="Q54" s="1317"/>
      <c r="R54" s="1316"/>
      <c r="S54" s="1322"/>
      <c r="T54" s="1325" t="s">
        <v>416</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 xml:space="preserve">Добавить источник для дифференциации</v>
      </c>
      <c r="AQ54" s="789"/>
      <c r="AR54" s="789"/>
      <c r="AS54" s="518">
        <v>1</v>
      </c>
    </row>
    <row r="55" s="1642" customFormat="1" ht="1.05" customHeight="1">
      <c r="A55" s="1343" t="s">
        <v>172</v>
      </c>
      <c r="B55" s="1343" t="s">
        <v>173</v>
      </c>
      <c r="C55" s="1314"/>
      <c r="D55" s="1314"/>
      <c r="E55" s="2259"/>
      <c r="F55" s="2258"/>
      <c r="G55" s="1314"/>
      <c r="H55" s="1314"/>
      <c r="I55" s="1314"/>
      <c r="J55" s="1314"/>
      <c r="K55" s="1314"/>
      <c r="L55" s="1339"/>
      <c r="M55" s="1321"/>
      <c r="N55" s="1321"/>
      <c r="P55" s="1316"/>
      <c r="Q55" s="1317"/>
      <c r="R55" s="1316"/>
      <c r="S55" s="1322"/>
      <c r="T55" s="1325" t="s">
        <v>417</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 xml:space="preserve">Добавить централизованную систему для дифференциации</v>
      </c>
      <c r="AQ55" s="789"/>
      <c r="AR55" s="789"/>
      <c r="AS55" s="518">
        <v>1</v>
      </c>
    </row>
    <row r="56" s="1642" customFormat="1" ht="1.05" customHeight="1">
      <c r="A56" s="1343" t="s">
        <v>172</v>
      </c>
      <c r="B56" s="1343"/>
      <c r="C56" s="1343"/>
      <c r="D56" s="1343"/>
      <c r="E56" s="2258"/>
      <c r="F56" s="1343"/>
      <c r="G56" s="1343"/>
      <c r="H56" s="1343"/>
      <c r="I56" s="1343"/>
      <c r="J56" s="1343"/>
      <c r="K56" s="1343"/>
      <c r="L56" s="1346"/>
      <c r="M56" s="1321"/>
      <c r="N56" s="1321"/>
      <c r="O56" s="518"/>
      <c r="P56" s="380"/>
      <c r="Q56" s="1344"/>
      <c r="R56" s="380"/>
      <c r="S56" s="1322"/>
      <c r="T56" s="1325" t="s">
        <v>418</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 xml:space="preserve">Добавить территорию для дифференциации</v>
      </c>
      <c r="AQ56" s="500"/>
      <c r="AR56" s="500"/>
      <c r="AS56" s="511">
        <v>1</v>
      </c>
    </row>
    <row r="57" s="1642" customFormat="1" ht="1.05" customHeight="1">
      <c r="A57" s="1314"/>
      <c r="B57" s="1314"/>
      <c r="C57" s="1314"/>
      <c r="D57" s="1314"/>
      <c r="E57" s="1343"/>
      <c r="F57" s="1314"/>
      <c r="G57" s="1314"/>
      <c r="H57" s="1314"/>
      <c r="I57" s="1314"/>
      <c r="J57" s="1314"/>
      <c r="K57" s="1314"/>
      <c r="L57" s="1339"/>
      <c r="M57" s="1321"/>
      <c r="N57" s="1321"/>
      <c r="P57" s="1316"/>
      <c r="Q57" s="1317"/>
      <c r="R57" s="1316"/>
      <c r="S57" s="1322"/>
      <c r="T57" s="1325" t="s">
        <v>450</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 xml:space="preserve">Добавить наименование тарифа</v>
      </c>
      <c r="AQ57" s="789"/>
      <c r="AR57" s="789"/>
      <c r="AS57" s="518">
        <v>1</v>
      </c>
    </row>
    <row r="58" ht="11.5" customHeight="1">
      <c r="M58" s="1160"/>
      <c r="N58" s="1160"/>
      <c r="O58" s="537"/>
      <c r="P58" s="1155"/>
      <c r="Q58" s="1155"/>
      <c r="R58" s="1155"/>
      <c r="S58" s="1155"/>
      <c r="AN58" s="1155"/>
      <c r="AO58" s="1155"/>
      <c r="AP58" s="1155"/>
      <c r="AQ58" s="1155"/>
      <c r="AR58" s="1155"/>
      <c r="AS58" s="1155">
        <v>11</v>
      </c>
    </row>
    <row r="59" ht="19.949999999999999" customHeight="1">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r="60" ht="29.25" customHeight="1">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r="61" ht="42" customHeight="1">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r="62" ht="14.65" customHeight="1">
      <c r="O62" s="537"/>
      <c r="AS62" s="1155">
        <v>14</v>
      </c>
    </row>
    <row r="63" ht="21" customHeight="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r="64" ht="29.25" customHeight="1">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r="65" ht="35.649999999999999" customHeight="1">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r="66" ht="22.5" hidden="1" customHeight="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autoFilter="0" deleteColumns="0" deleteRows="0" formatColumns="0" formatRows="0" insertColumns="1" insertRows="0" sort="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4">
    <dataValidation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allowBlank="1" promptTitle="checkPeriodRange"/>
    <dataValidation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allowBlank="1" prompt="Для выбора выполните двойной щелчок левой клавиши мыши по соответствующей ячейке." showErrorMessage="1" showInputMessage="1"/>
    <dataValidation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llowBlank="1" prompt="Выберите дату из календаря (иконка справа от указанной ячейки), либо введите дату непосредственно в ячейку в формате - 'ДД.ММ.ГГГГ'." showErrorMessage="1" showInputMessage="1"/>
    <dataValidation sqref="S131123:AM131129 S196659:AM196665 S262195:AM262201 S327731:AM327737 S393267:AM393273 S458803:AM458809 S524339:AM524345 S589875:AM589881 S655411:AM655417 S720947:AM720953 S786483:AM786489 S852019:AM852025 S917555:AM917561 S983091:AM983097 S65587:AM65593" allowBlank="1"/>
  </dataValidations>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x14:dataValidation xr:uid="{006B00C3-00FE-4EA0-A747-000900C10003}" type="list" allowBlank="1" error="Выберите значение из списка" errorTitle="Ошибка" showErrorMessage="1" showInputMessage="1">
          <x14:formula1>
            <xm:f>kind_of_heat_transfer</xm:f>
          </x14:formula1>
          <xm:sqref>T65585 T131121 T196657 T262193 T327729 T393265 T458801 T524337 T589873 T655409 T720945 T786481 T852017 T917553 T983089</xm:sqref>
        </x14:dataValidation>
        <x14:dataValidation xr:uid="{00410095-0065-40D5-9BAB-00D400BB00A5}" type="textLength" allowBlank="1" error="Допускается ввод не более 900 символов!" errorTitle="Ошибка" operator="lessThanOrEqual" showErrorMessage="1" showInputMessage="1">
          <x14:formula1>
            <xm:f>900</xm:f>
          </x14:formula1>
          <xm:sqref>AM65579:AM65586 AM131115:AM131122 AM196651:AM196658 AM262187:AM262194 AM327723:AM327730 AM393259:AM393266 AM458795:AM458802 AM524331:AM524338 AM589867:AM589874 AM655403:AM655410 AM720939:AM720946 AM786475:AM786482 AM852011:AM852018 AM917547:AM917554 AM983083:AM983090</xm:sqref>
        </x14:dataValidation>
        <x14:dataValidation xr:uid="{009D00E2-0094-4CB2-86E1-000C006E000F}" type="list" allowBlank="1" error="Выберите значение из списка" errorTitle="Ошибка" showErrorMessage="1" showInputMessage="1">
          <x14:formula1>
            <xm:f>kind_of_scheme_in</xm:f>
          </x14:formula1>
          <xm: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xm:sqref>
        </x14:dataValidation>
        <x14:dataValidation xr:uid="{005D00EC-00FD-4759-8A6F-006F00770008}" type="list" allowBlank="1" error="Выберите значение из списка" errorTitle="Ошибка" prompt="Выберите значение из списка" showInputMessage="1">
          <x14:formula1>
            <xm:f>kind_of_cons</xm:f>
          </x14:formula1>
          <xm:sqref>V983088:AL983088 V65584:AL65584 V131120:AL131120 V196656:AL196656 V262192:AL262192 V327728:AL327728 V393264:AL393264 V458800:AL458800 V524336:AL524336 V589872:AL589872 V655408:AL655408 V720944:AL720944 V786480:AL786480 V852016:AL852016 V917552:AL917552</xm:sqref>
        </x14:dataValidation>
      </x14:dataValidation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sheetPr>
  <sheetViews>
    <sheetView showGridLines="0" topLeftCell="A1" zoomScale="90" workbookViewId="0">
      <selection activeCell="A1" sqref="A1"/>
    </sheetView>
  </sheetViews>
  <sheetFormatPr defaultColWidth="10.57421875" defaultRowHeight="14.25" customHeight="1"/>
  <cols>
    <col hidden="1" min="1" max="1" style="1366" width="10.57421875"/>
    <col customWidth="1" hidden="1" min="2" max="2" style="1366" width="11.00390625"/>
    <col hidden="1" min="3" max="3" style="1366" width="10.57421875"/>
    <col customWidth="1" hidden="1" min="4" max="4" style="1366" width="11.8515625"/>
    <col customWidth="1" hidden="1" min="5" max="5" style="1366" width="10.00390625"/>
    <col customWidth="1" hidden="1" min="6" max="6" style="1366" width="8.7109375"/>
    <col customWidth="1" hidden="1" min="7" max="7" style="1366" width="7.57421875"/>
    <col customWidth="1" hidden="1" min="8" max="8" style="1366" width="11.421875"/>
    <col customWidth="1" hidden="1" min="9" max="9" style="1366" width="12.00390625"/>
    <col customWidth="1" hidden="1" min="10" max="10" style="1366" width="9.8515625"/>
    <col customWidth="1" hidden="1" min="11" max="11" style="1366" width="11.421875"/>
    <col customWidth="1" hidden="1" min="12" max="12" style="2607" width="19.140625"/>
    <col customWidth="1" hidden="1" min="13" max="14" style="1776" width="12.28125"/>
    <col customWidth="1" hidden="1" min="15" max="15" style="1776" width="23.421875"/>
    <col customWidth="1" hidden="1" min="16" max="16" style="2397" width="3.7109375"/>
    <col customWidth="1" min="17" max="18" style="344" width="3.00390625"/>
    <col customWidth="1" min="19" max="19" style="2407" width="12.00390625"/>
    <col customWidth="1" min="20" max="20" style="1635" width="31.00390625"/>
    <col customWidth="1" min="21" max="21" style="1635" width="0.140625"/>
    <col customWidth="1" hidden="1" min="22" max="22" style="1635" width="24.7109375"/>
    <col customWidth="1" hidden="1" min="23" max="23" style="1635" width="0.140625"/>
    <col customWidth="1" hidden="1" min="24" max="25" style="1635" width="24.7109375"/>
    <col customWidth="1" hidden="1" min="26" max="26" style="1635" width="11.7109375"/>
    <col customWidth="1" hidden="1" min="27" max="27" style="1635" width="3.7109375"/>
    <col customWidth="1" hidden="1" min="28" max="28" style="1635" width="11.7109375"/>
    <col customWidth="1" hidden="1" min="29" max="29" style="1635" width="8.57421875"/>
    <col customWidth="1" min="30" max="30" style="1635" width="24.7109375"/>
    <col customWidth="1" min="31" max="31" style="1635" width="0.140625"/>
    <col customWidth="1" min="32" max="33" style="1635" width="24.00390625"/>
    <col customWidth="1" min="34" max="34" style="1635" width="11.00390625"/>
    <col customWidth="1" min="35" max="35" style="1635" width="3.7109375"/>
    <col customWidth="1" min="36" max="36" style="1635" width="11.00390625"/>
    <col customWidth="1" hidden="1" min="37" max="37" style="1635" width="8.57421875"/>
    <col customWidth="1" min="38" max="38" style="1635" width="4.00390625"/>
    <col customWidth="1" min="39" max="39" style="1635" width="115.00390625"/>
    <col customWidth="1" min="40" max="44" style="1642" width="10.00390625"/>
    <col hidden="1" min="45" max="45" style="1635" width="10.57421875"/>
  </cols>
  <sheetData>
    <row r="1" ht="22.5" hidden="1" customHeight="1">
      <c r="A1" s="1871"/>
      <c r="Y1" s="327"/>
      <c r="Z1" s="327"/>
      <c r="AG1" s="327"/>
      <c r="AH1" s="327"/>
      <c r="AS1" s="1155" t="s">
        <v>14</v>
      </c>
    </row>
    <row r="2" ht="21" hidden="1" customHeight="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127</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398</v>
      </c>
      <c r="AO2" s="500"/>
      <c r="AP2" s="500" t="str">
        <f>IF(T2="","",T2)</f>
        <v xml:space="preserve">Наименование тарифа</v>
      </c>
      <c r="AQ2" s="500"/>
      <c r="AR2" s="500"/>
      <c r="AS2" s="1155">
        <v>0</v>
      </c>
    </row>
    <row r="3" ht="21" hidden="1" customHeight="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400</v>
      </c>
      <c r="AO3" s="500"/>
      <c r="AP3" s="500" t="str">
        <f>IF(T3="","",T3)</f>
        <v xml:space="preserve">Территория действия тарифа</v>
      </c>
      <c r="AQ3" s="500"/>
      <c r="AR3" s="500"/>
      <c r="AS3" s="1155">
        <v>0</v>
      </c>
    </row>
    <row r="4" ht="23.25" hidden="1" customHeight="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401</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402</v>
      </c>
      <c r="AO4" s="500"/>
      <c r="AP4" s="500" t="str">
        <f>IF(T4="","",T4)</f>
        <v xml:space="preserve">Наименование системы теплоснабжения</v>
      </c>
      <c r="AQ4" s="500"/>
      <c r="AR4" s="500"/>
      <c r="AS4" s="1155">
        <v>0</v>
      </c>
    </row>
    <row r="5" ht="21" hidden="1" customHeight="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403</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404</v>
      </c>
      <c r="AO5" s="500"/>
      <c r="AP5" s="500" t="str">
        <f>IF(T5="","",T5)</f>
        <v xml:space="preserve">Источник тепловой энергии</v>
      </c>
      <c r="AQ5" s="500"/>
      <c r="AR5" s="500"/>
      <c r="AS5" s="1155">
        <v>0</v>
      </c>
    </row>
    <row r="6" ht="0.75" hidden="1" customHeight="1">
      <c r="A6" s="1363"/>
      <c r="B6" s="1363"/>
      <c r="C6" s="1363"/>
      <c r="D6" s="1363"/>
      <c r="E6" s="2259"/>
      <c r="F6" s="2259"/>
      <c r="G6" s="2259"/>
      <c r="H6" s="2259"/>
      <c r="I6" s="2256">
        <f>S5&amp;".1"</f>
      </c>
      <c r="J6" s="1363"/>
      <c r="K6" s="1363"/>
      <c r="L6" s="1364" t="s">
        <v>405</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r="7" ht="84" hidden="1" customHeight="1">
      <c r="A7" s="1363"/>
      <c r="B7" s="1363"/>
      <c r="C7" s="1363"/>
      <c r="D7" s="1363"/>
      <c r="E7" s="2259"/>
      <c r="F7" s="2259"/>
      <c r="G7" s="2259"/>
      <c r="H7" s="2259"/>
      <c r="I7" s="2286"/>
      <c r="J7" s="2256">
        <f>I6&amp;".1"</f>
      </c>
      <c r="K7" s="1363"/>
      <c r="L7" s="1364" t="s">
        <v>408</v>
      </c>
      <c r="M7" s="537"/>
      <c r="N7" s="1366"/>
      <c r="P7" s="2257"/>
      <c r="Q7" s="2257">
        <v>1</v>
      </c>
      <c r="R7" s="1642"/>
      <c r="S7" s="2007">
        <f>$J7</f>
      </c>
      <c r="T7" s="286" t="s">
        <v>409</v>
      </c>
      <c r="U7" s="300"/>
      <c r="V7" s="2305"/>
      <c r="W7" s="2305"/>
      <c r="X7" s="2305"/>
      <c r="Y7" s="2305"/>
      <c r="Z7" s="2305"/>
      <c r="AA7" s="2305"/>
      <c r="AB7" s="2305"/>
      <c r="AC7" s="2305"/>
      <c r="AD7" s="2305"/>
      <c r="AE7" s="2305"/>
      <c r="AF7" s="2305"/>
      <c r="AG7" s="2305"/>
      <c r="AH7" s="2305"/>
      <c r="AI7" s="2305"/>
      <c r="AJ7" s="2305"/>
      <c r="AK7" s="2305"/>
      <c r="AL7" s="2305"/>
      <c r="AM7" s="2010" t="s">
        <v>410</v>
      </c>
      <c r="AO7" s="500"/>
      <c r="AP7" s="500" t="str">
        <f>IF(T7="","",T7)</f>
        <v xml:space="preserve">Группа потребителей</v>
      </c>
      <c r="AQ7" s="500"/>
      <c r="AR7" s="500"/>
      <c r="AS7" s="1155">
        <v>0</v>
      </c>
    </row>
    <row r="8" ht="11.25" hidden="1" customHeight="1">
      <c r="A8" s="1363"/>
      <c r="B8" s="1363"/>
      <c r="C8" s="1363"/>
      <c r="D8" s="1363"/>
      <c r="E8" s="2259"/>
      <c r="F8" s="2259"/>
      <c r="G8" s="2259"/>
      <c r="H8" s="2259"/>
      <c r="I8" s="2286"/>
      <c r="J8" s="2286"/>
      <c r="K8" s="2256">
        <f>J7&amp;".1"</f>
      </c>
      <c r="L8" s="1364" t="s">
        <v>411</v>
      </c>
      <c r="M8" s="537"/>
      <c r="N8" s="1366"/>
      <c r="O8" s="1366"/>
      <c r="P8" s="2257"/>
      <c r="Q8" s="2257"/>
      <c r="R8" s="357">
        <v>1</v>
      </c>
      <c r="S8" s="2009">
        <f>$K8</f>
      </c>
      <c r="T8" s="2014"/>
      <c r="U8" s="2015"/>
      <c r="V8" s="2016"/>
      <c r="W8" s="1349"/>
      <c r="X8" s="2016"/>
      <c r="Y8" s="2017"/>
      <c r="Z8" s="2306"/>
      <c r="AA8" s="2112" t="s">
        <v>65</v>
      </c>
      <c r="AB8" s="2306"/>
      <c r="AC8" s="2112" t="s">
        <v>65</v>
      </c>
      <c r="AD8" s="2016"/>
      <c r="AE8" s="1349"/>
      <c r="AF8" s="2016"/>
      <c r="AG8" s="2017"/>
      <c r="AH8" s="2306"/>
      <c r="AI8" s="2112" t="s">
        <v>65</v>
      </c>
      <c r="AJ8" s="2306"/>
      <c r="AK8" s="2112" t="s">
        <v>65</v>
      </c>
      <c r="AL8" s="1349"/>
      <c r="AM8" s="2253" t="s">
        <v>412</v>
      </c>
      <c r="AN8" s="511">
        <f>STRCHECKDATE(V9:AL9)</f>
      </c>
      <c r="AO8" s="500"/>
      <c r="AP8" s="500" t="str">
        <f>IF(T8="","",T8)</f>
        <v/>
      </c>
      <c r="AQ8" s="500"/>
      <c r="AR8" s="500"/>
      <c r="AS8" s="1155">
        <v>0</v>
      </c>
    </row>
    <row r="9" ht="0.75" hidden="1" customHeight="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r="10" ht="11.25" hidden="1" customHeight="1">
      <c r="A10" s="1363"/>
      <c r="B10" s="1363"/>
      <c r="C10" s="1363"/>
      <c r="D10" s="1363"/>
      <c r="E10" s="2259"/>
      <c r="F10" s="2259"/>
      <c r="G10" s="2259"/>
      <c r="H10" s="2259"/>
      <c r="I10" s="2286"/>
      <c r="J10" s="2256"/>
      <c r="K10" s="1363"/>
      <c r="L10" s="1364"/>
      <c r="M10" s="537"/>
      <c r="N10" s="1366"/>
      <c r="P10" s="2257"/>
      <c r="Q10" s="2257"/>
      <c r="R10" s="356"/>
      <c r="S10" s="1278"/>
      <c r="T10" s="287" t="s">
        <v>413</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 xml:space="preserve">Добавить вид теплоносителя (параметры теплоносителя)</v>
      </c>
      <c r="AQ10" s="500"/>
      <c r="AR10" s="500"/>
      <c r="AS10" s="1155">
        <v>0</v>
      </c>
    </row>
    <row r="11" ht="11.25" hidden="1" customHeight="1">
      <c r="A11" s="1363"/>
      <c r="B11" s="1363"/>
      <c r="C11" s="1363"/>
      <c r="D11" s="1363"/>
      <c r="E11" s="2259"/>
      <c r="F11" s="2259"/>
      <c r="G11" s="2259"/>
      <c r="H11" s="2259"/>
      <c r="I11" s="2256"/>
      <c r="J11" s="1363"/>
      <c r="K11" s="1363"/>
      <c r="L11" s="1364"/>
      <c r="M11" s="537"/>
      <c r="P11" s="2257"/>
      <c r="Q11" s="1331"/>
      <c r="R11" s="356"/>
      <c r="S11" s="1278"/>
      <c r="T11" s="365" t="s">
        <v>414</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 xml:space="preserve">Добавить группу потребителей</v>
      </c>
      <c r="AQ11" s="500"/>
      <c r="AR11" s="500"/>
      <c r="AS11" s="1155">
        <v>0</v>
      </c>
    </row>
    <row r="12" ht="0.75" hidden="1" customHeight="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r="13" s="1642" customFormat="1" ht="0.75" hidden="1" customHeight="1">
      <c r="A13" s="1314"/>
      <c r="B13" s="1314"/>
      <c r="C13" s="1314"/>
      <c r="D13" s="1314"/>
      <c r="E13" s="2259"/>
      <c r="F13" s="2259"/>
      <c r="G13" s="2258"/>
      <c r="H13" s="1314"/>
      <c r="I13" s="1314"/>
      <c r="J13" s="1314"/>
      <c r="K13" s="1314"/>
      <c r="L13" s="1339"/>
      <c r="M13" s="1315"/>
      <c r="N13" s="1315"/>
      <c r="P13" s="1316"/>
      <c r="Q13" s="1317"/>
      <c r="R13" s="1316"/>
      <c r="S13" s="1318"/>
      <c r="T13" s="1319" t="s">
        <v>416</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 xml:space="preserve">Добавить источник для дифференциации</v>
      </c>
      <c r="AQ13" s="789"/>
      <c r="AR13" s="789"/>
      <c r="AS13" s="518">
        <v>0</v>
      </c>
    </row>
    <row r="14" s="1642" customFormat="1" ht="0.75" hidden="1" customHeight="1">
      <c r="A14" s="1314"/>
      <c r="B14" s="1314"/>
      <c r="C14" s="1314"/>
      <c r="D14" s="1314"/>
      <c r="E14" s="2259"/>
      <c r="F14" s="2258"/>
      <c r="G14" s="1314"/>
      <c r="H14" s="1314"/>
      <c r="I14" s="1314"/>
      <c r="J14" s="1314"/>
      <c r="K14" s="1314"/>
      <c r="L14" s="1339"/>
      <c r="M14" s="1321"/>
      <c r="N14" s="1321"/>
      <c r="P14" s="1316"/>
      <c r="Q14" s="1317"/>
      <c r="R14" s="1316"/>
      <c r="S14" s="1322"/>
      <c r="T14" s="1323" t="s">
        <v>417</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 xml:space="preserve">Добавить централизованную систему для дифференциации</v>
      </c>
      <c r="AQ14" s="789"/>
      <c r="AR14" s="789"/>
      <c r="AS14" s="518">
        <v>0</v>
      </c>
    </row>
    <row r="15" s="1642" customFormat="1" ht="0.75" hidden="1" customHeight="1">
      <c r="A15" s="1314"/>
      <c r="B15" s="1314"/>
      <c r="C15" s="1314"/>
      <c r="D15" s="1314"/>
      <c r="E15" s="2258"/>
      <c r="F15" s="1314"/>
      <c r="G15" s="1314"/>
      <c r="H15" s="1314"/>
      <c r="I15" s="1314"/>
      <c r="J15" s="1314"/>
      <c r="K15" s="1314"/>
      <c r="L15" s="1339"/>
      <c r="M15" s="1321"/>
      <c r="N15" s="1321"/>
      <c r="P15" s="1316"/>
      <c r="Q15" s="1317"/>
      <c r="R15" s="1316"/>
      <c r="S15" s="1322"/>
      <c r="T15" s="1325" t="s">
        <v>418</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 xml:space="preserve">Добавить территорию для дифференциации</v>
      </c>
      <c r="AQ15" s="789"/>
      <c r="AR15" s="789"/>
      <c r="AS15" s="518">
        <v>0</v>
      </c>
    </row>
    <row r="16" ht="14.25" hidden="1" customHeight="1">
      <c r="AC16" s="327"/>
      <c r="AK16" s="327"/>
      <c r="AS16" s="1155">
        <v>0</v>
      </c>
    </row>
    <row r="17" ht="14.25" hidden="1" customHeight="1">
      <c r="AD17" s="1360"/>
      <c r="AE17" s="1360"/>
      <c r="AF17" s="1360"/>
      <c r="AG17" s="1361"/>
      <c r="AH17" s="2267"/>
      <c r="AI17" s="2268" t="s">
        <v>65</v>
      </c>
      <c r="AJ17" s="2267"/>
      <c r="AK17" s="2268" t="s">
        <v>65</v>
      </c>
      <c r="AS17" s="1155">
        <v>0</v>
      </c>
    </row>
    <row r="18" ht="14.25" hidden="1" customHeight="1">
      <c r="AD18" s="1360"/>
      <c r="AE18" s="1360"/>
      <c r="AF18" s="1360"/>
      <c r="AG18" s="328" t="str">
        <f>AH17&amp;"-"&amp;AJ17</f>
        <v>-</v>
      </c>
      <c r="AH18" s="2268"/>
      <c r="AI18" s="2268"/>
      <c r="AJ18" s="2268"/>
      <c r="AK18" s="2268"/>
      <c r="AS18" s="1155">
        <v>0</v>
      </c>
    </row>
    <row r="19" ht="14.25" hidden="1" customHeight="1">
      <c r="AK19" s="327"/>
      <c r="AS19" s="1155">
        <v>0</v>
      </c>
    </row>
    <row r="20" s="1366" customFormat="1" ht="22.5" hidden="1" customHeight="1">
      <c r="L20" s="1329"/>
      <c r="M20" s="1362"/>
      <c r="N20" s="1362"/>
      <c r="O20" s="1367" t="s">
        <v>419</v>
      </c>
      <c r="P20" s="1362"/>
      <c r="Q20" s="1371"/>
      <c r="R20" s="1371"/>
      <c r="S20" s="729"/>
      <c r="Z20" s="1367"/>
      <c r="AB20" s="1367"/>
      <c r="AC20" s="1366"/>
      <c r="AH20" s="1367"/>
      <c r="AJ20" s="1367"/>
      <c r="AK20" s="1366"/>
      <c r="AN20" s="511"/>
      <c r="AO20" s="511"/>
      <c r="AP20" s="511"/>
      <c r="AQ20" s="511"/>
      <c r="AR20" s="511"/>
      <c r="AS20" s="1160">
        <v>0</v>
      </c>
    </row>
    <row r="21" s="1366" customFormat="1" ht="14.25" hidden="1" customHeight="1">
      <c r="L21" s="1329"/>
      <c r="M21" s="1362"/>
      <c r="N21" s="1362"/>
      <c r="O21" s="1362"/>
      <c r="P21" s="1362"/>
      <c r="Q21" s="1371"/>
      <c r="R21" s="1371"/>
      <c r="S21" s="729"/>
      <c r="AC21" s="1366"/>
      <c r="AK21" s="1366"/>
      <c r="AN21" s="511"/>
      <c r="AO21" s="511"/>
      <c r="AP21" s="511"/>
      <c r="AQ21" s="511"/>
      <c r="AR21" s="511"/>
      <c r="AS21" s="1160">
        <v>0</v>
      </c>
    </row>
    <row r="22" s="1366" customFormat="1" ht="14.25" hidden="1" customHeight="1">
      <c r="L22" s="1329"/>
      <c r="M22" s="1362"/>
      <c r="N22" s="1362"/>
      <c r="O22" s="1364" t="s">
        <v>420</v>
      </c>
      <c r="P22" s="1362"/>
      <c r="Q22" s="1371"/>
      <c r="R22" s="1371"/>
      <c r="S22" s="729"/>
      <c r="T22" s="1160" t="s">
        <v>421</v>
      </c>
      <c r="AA22" s="186" t="s">
        <v>422</v>
      </c>
      <c r="AC22" s="186" t="s">
        <v>423</v>
      </c>
      <c r="AD22" s="1160" t="s">
        <v>421</v>
      </c>
      <c r="AI22" s="186" t="s">
        <v>424</v>
      </c>
      <c r="AK22" s="186" t="s">
        <v>423</v>
      </c>
      <c r="AN22" s="511"/>
      <c r="AO22" s="511"/>
      <c r="AP22" s="511"/>
      <c r="AQ22" s="511"/>
      <c r="AR22" s="511"/>
      <c r="AS22" s="1160">
        <v>0</v>
      </c>
    </row>
    <row r="23" ht="14.25" hidden="1" customHeight="1">
      <c r="O23" s="1364"/>
      <c r="AS23" s="1155">
        <v>0</v>
      </c>
    </row>
    <row r="24" ht="14.25" hidden="1" customHeight="1">
      <c r="O24" s="1364"/>
      <c r="AS24" s="1155">
        <v>0</v>
      </c>
    </row>
    <row r="25" ht="14.65" customHeight="1">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r="26" ht="54.75" customHeight="1">
      <c r="Q26" s="376"/>
      <c r="R26" s="376"/>
      <c r="S26" s="2307" t="str">
        <f>IF(TEMPLATE_GROUP="P",PT_P_FORM_HEAT_5_NAME_FORM,PT_R_FORM_HEAT_22_NAME_FORM)</f>
        <v xml:space="preserve">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r="27" ht="14.65" customHeight="1">
      <c r="Q27" s="376"/>
      <c r="R27" s="376"/>
      <c r="S27" s="2249" t="str">
        <f>IF(org=0,"Не определено",org)</f>
        <v xml:space="preserve">филиал ПАО "ОГК-2" - Рязанская ГРЭС</v>
      </c>
      <c r="T27" s="2249"/>
      <c r="U27" s="2249"/>
      <c r="V27" s="2249"/>
      <c r="W27" s="2249"/>
      <c r="X27" s="2249"/>
      <c r="Y27" s="2249"/>
      <c r="Z27" s="2249"/>
      <c r="AA27" s="2249"/>
      <c r="AB27" s="2249"/>
      <c r="AC27" s="2249"/>
      <c r="AD27" s="2249"/>
      <c r="AE27" s="2249"/>
      <c r="AF27" s="2249"/>
      <c r="AG27" s="2249"/>
      <c r="AH27" s="2249"/>
      <c r="AI27" s="2249"/>
      <c r="AJ27" s="2249"/>
      <c r="AK27" s="1243"/>
      <c r="AS27" s="1155">
        <v>14</v>
      </c>
    </row>
    <row r="28" ht="14.25" hidden="1" customHeight="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r="29" s="1853" customFormat="1" ht="25.5" hidden="1" customHeight="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r="30" s="1853" customFormat="1" ht="18.75" hidden="1" customHeight="1">
      <c r="A30" s="1368"/>
      <c r="B30" s="1368"/>
      <c r="C30" s="1368"/>
      <c r="D30" s="1368"/>
      <c r="E30" s="1368"/>
      <c r="F30" s="1368"/>
      <c r="G30" s="1368"/>
      <c r="H30" s="1368"/>
      <c r="I30" s="1368"/>
      <c r="J30" s="1368"/>
      <c r="K30" s="1368"/>
      <c r="L30" s="1369"/>
      <c r="M30" s="1368"/>
      <c r="N30" s="1368"/>
      <c r="O30" s="1368"/>
      <c r="S30" s="2250" t="s">
        <v>425</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r="31" s="1853" customFormat="1" ht="18.75" hidden="1" customHeight="1">
      <c r="A31" s="1368"/>
      <c r="B31" s="1368"/>
      <c r="C31" s="1368"/>
      <c r="D31" s="1368"/>
      <c r="E31" s="1368"/>
      <c r="F31" s="1368"/>
      <c r="G31" s="1368"/>
      <c r="H31" s="1368"/>
      <c r="I31" s="1368"/>
      <c r="J31" s="1368"/>
      <c r="K31" s="1368"/>
      <c r="L31" s="1369"/>
      <c r="M31" s="1368"/>
      <c r="N31" s="1368"/>
      <c r="O31" s="1368"/>
      <c r="S31" s="2250" t="s">
        <v>426</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r="32" s="1853" customFormat="1" ht="18.75" hidden="1" customHeight="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r="33" ht="14.25" hidden="1" customHeight="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r="34" s="1853" customFormat="1" ht="18.75" hidden="1" customHeight="1">
      <c r="A34" s="1368"/>
      <c r="B34" s="1368"/>
      <c r="C34" s="1368"/>
      <c r="D34" s="1368"/>
      <c r="E34" s="1368"/>
      <c r="F34" s="1368"/>
      <c r="G34" s="1368"/>
      <c r="H34" s="1368"/>
      <c r="I34" s="1368"/>
      <c r="J34" s="1368"/>
      <c r="K34" s="1368"/>
      <c r="L34" s="1369"/>
      <c r="M34" s="1368"/>
      <c r="N34" s="1368"/>
      <c r="O34" s="1368"/>
      <c r="S34" s="2250" t="s">
        <v>427</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r="35" s="1853" customFormat="1" ht="18.75" hidden="1" customHeight="1">
      <c r="A35" s="1368"/>
      <c r="B35" s="1368"/>
      <c r="C35" s="1368"/>
      <c r="D35" s="1368"/>
      <c r="E35" s="1368"/>
      <c r="F35" s="1368"/>
      <c r="G35" s="1368"/>
      <c r="H35" s="1368"/>
      <c r="I35" s="1368"/>
      <c r="J35" s="1368"/>
      <c r="K35" s="1368"/>
      <c r="L35" s="1369"/>
      <c r="M35" s="1368"/>
      <c r="N35" s="1368"/>
      <c r="O35" s="1368"/>
      <c r="S35" s="2250" t="s">
        <v>428</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r="36" s="1853" customFormat="1" ht="0" customHeight="1">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429</v>
      </c>
      <c r="AD36" s="326"/>
      <c r="AE36" s="326"/>
      <c r="AF36" s="326"/>
      <c r="AG36" s="326"/>
      <c r="AH36" s="326"/>
      <c r="AI36" s="326"/>
      <c r="AJ36" s="326"/>
      <c r="AK36" s="278" t="s">
        <v>429</v>
      </c>
      <c r="AN36" s="368"/>
      <c r="AO36" s="368"/>
      <c r="AP36" s="368"/>
      <c r="AQ36" s="368"/>
      <c r="AR36" s="368"/>
      <c r="AS36" s="418">
        <v>0</v>
      </c>
    </row>
    <row r="37" ht="14.65" customHeight="1">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r="38" ht="14.65" customHeight="1">
      <c r="Q38" s="376"/>
      <c r="R38" s="376"/>
      <c r="S38" s="2127" t="s">
        <v>302</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303</v>
      </c>
      <c r="AS38" s="1155">
        <v>14</v>
      </c>
    </row>
    <row r="39" ht="14.65" customHeight="1">
      <c r="Q39" s="376"/>
      <c r="R39" s="376"/>
      <c r="S39" s="2273" t="s">
        <v>87</v>
      </c>
      <c r="T39" s="2209" t="s">
        <v>430</v>
      </c>
      <c r="U39" s="301"/>
      <c r="V39" s="2274" t="s">
        <v>431</v>
      </c>
      <c r="W39" s="2275"/>
      <c r="X39" s="2275"/>
      <c r="Y39" s="2275"/>
      <c r="Z39" s="2275"/>
      <c r="AA39" s="2275"/>
      <c r="AB39" s="2276"/>
      <c r="AC39" s="2277" t="s">
        <v>432</v>
      </c>
      <c r="AD39" s="2274" t="s">
        <v>431</v>
      </c>
      <c r="AE39" s="2275"/>
      <c r="AF39" s="2275"/>
      <c r="AG39" s="2275"/>
      <c r="AH39" s="2275"/>
      <c r="AI39" s="2275"/>
      <c r="AJ39" s="2276"/>
      <c r="AK39" s="2277" t="s">
        <v>433</v>
      </c>
      <c r="AL39" s="2280" t="s">
        <v>434</v>
      </c>
      <c r="AM39" s="2127"/>
      <c r="AS39" s="1155">
        <v>14</v>
      </c>
    </row>
    <row r="40" ht="35.649999999999999" customHeight="1">
      <c r="Q40" s="376"/>
      <c r="R40" s="376"/>
      <c r="S40" s="2273"/>
      <c r="T40" s="2209"/>
      <c r="U40" s="1031"/>
      <c r="V40" s="2260" t="s">
        <v>435</v>
      </c>
      <c r="W40" s="2283"/>
      <c r="X40" s="2262" t="s">
        <v>437</v>
      </c>
      <c r="Y40" s="2263"/>
      <c r="Z40" s="2262" t="s">
        <v>438</v>
      </c>
      <c r="AA40" s="2269"/>
      <c r="AB40" s="2263"/>
      <c r="AC40" s="2278"/>
      <c r="AD40" s="2260" t="s">
        <v>452</v>
      </c>
      <c r="AE40" s="2283"/>
      <c r="AF40" s="2262" t="s">
        <v>437</v>
      </c>
      <c r="AG40" s="2263"/>
      <c r="AH40" s="2262" t="s">
        <v>438</v>
      </c>
      <c r="AI40" s="2269"/>
      <c r="AJ40" s="2263"/>
      <c r="AK40" s="2278"/>
      <c r="AL40" s="2281"/>
      <c r="AM40" s="2127"/>
      <c r="AS40" s="1155">
        <v>34</v>
      </c>
    </row>
    <row r="41" ht="35.649999999999999" customHeight="1">
      <c r="A41" s="1370"/>
      <c r="B41" s="1370" t="s">
        <v>139</v>
      </c>
      <c r="C41" s="1370" t="s">
        <v>140</v>
      </c>
      <c r="D41" s="1370" t="s">
        <v>141</v>
      </c>
      <c r="E41" s="1364" t="s">
        <v>439</v>
      </c>
      <c r="F41" s="1364" t="s">
        <v>440</v>
      </c>
      <c r="G41" s="1364" t="s">
        <v>441</v>
      </c>
      <c r="H41" s="1364" t="s">
        <v>442</v>
      </c>
      <c r="I41" s="1364" t="s">
        <v>443</v>
      </c>
      <c r="J41" s="1364" t="s">
        <v>444</v>
      </c>
      <c r="K41" s="1364" t="s">
        <v>445</v>
      </c>
      <c r="L41" s="1364" t="s">
        <v>420</v>
      </c>
      <c r="Q41" s="376"/>
      <c r="R41" s="376"/>
      <c r="S41" s="2273"/>
      <c r="T41" s="2209"/>
      <c r="U41" s="302"/>
      <c r="V41" s="2261"/>
      <c r="W41" s="2284"/>
      <c r="X41" s="1222" t="s">
        <v>446</v>
      </c>
      <c r="Y41" s="1222" t="s">
        <v>447</v>
      </c>
      <c r="Z41" s="1338" t="s">
        <v>448</v>
      </c>
      <c r="AA41" s="2270" t="s">
        <v>449</v>
      </c>
      <c r="AB41" s="2271"/>
      <c r="AC41" s="2279"/>
      <c r="AD41" s="2261"/>
      <c r="AE41" s="2284"/>
      <c r="AF41" s="1222" t="s">
        <v>446</v>
      </c>
      <c r="AG41" s="1222" t="s">
        <v>447</v>
      </c>
      <c r="AH41" s="1338" t="s">
        <v>448</v>
      </c>
      <c r="AI41" s="2270" t="s">
        <v>449</v>
      </c>
      <c r="AJ41" s="2271"/>
      <c r="AK41" s="2279"/>
      <c r="AL41" s="2282"/>
      <c r="AM41" s="2127"/>
      <c r="AS41" s="1155">
        <v>34</v>
      </c>
    </row>
    <row r="42" s="1641" customFormat="1" ht="11.25" hidden="1" customHeight="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r="43" ht="22" customHeight="1">
      <c r="A43" s="1363" t="s">
        <v>184</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127</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 xml:space="preserve">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 xml:space="preserve">Наименование тарифа</v>
      </c>
      <c r="AQ43" s="500"/>
      <c r="AR43" s="500"/>
      <c r="AS43" s="1155">
        <v>21</v>
      </c>
    </row>
    <row r="44" ht="22" customHeight="1">
      <c r="A44" s="1363" t="s">
        <v>184</v>
      </c>
      <c r="B44" s="1363" t="s">
        <v>185</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400</v>
      </c>
      <c r="AO44" s="500"/>
      <c r="AP44" s="500" t="str">
        <f>IF(T44="","",T44)</f>
        <v xml:space="preserve">Территория действия тарифа</v>
      </c>
      <c r="AQ44" s="500"/>
      <c r="AR44" s="500"/>
      <c r="AS44" s="1155">
        <v>21</v>
      </c>
    </row>
    <row r="45" ht="24" customHeight="1">
      <c r="A45" s="1363" t="s">
        <v>184</v>
      </c>
      <c r="B45" s="1363" t="s">
        <v>185</v>
      </c>
      <c r="C45" s="1363" t="s">
        <v>186</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402</v>
      </c>
      <c r="AO45" s="500"/>
      <c r="AP45" s="500" t="str">
        <f>IF(T45="","",T45)</f>
        <v xml:space="preserve">Наименование системы теплоснабжения</v>
      </c>
      <c r="AQ45" s="500"/>
      <c r="AR45" s="500"/>
      <c r="AS45" s="1155">
        <v>23</v>
      </c>
    </row>
    <row r="46" ht="22" customHeight="1">
      <c r="A46" s="1363" t="s">
        <v>184</v>
      </c>
      <c r="B46" s="1363" t="s">
        <v>185</v>
      </c>
      <c r="C46" s="1363" t="s">
        <v>186</v>
      </c>
      <c r="D46" s="1363" t="s">
        <v>187</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404</v>
      </c>
      <c r="AO46" s="500"/>
      <c r="AP46" s="500" t="str">
        <f>IF(T46="","",T46)</f>
        <v xml:space="preserve">Источник тепловой энергии</v>
      </c>
      <c r="AQ46" s="500"/>
      <c r="AR46" s="500"/>
      <c r="AS46" s="1155">
        <v>21</v>
      </c>
    </row>
    <row r="47" s="1642" customFormat="1" ht="0" customHeight="1">
      <c r="A47" s="1343" t="s">
        <v>184</v>
      </c>
      <c r="B47" s="1343" t="s">
        <v>185</v>
      </c>
      <c r="C47" s="1343" t="s">
        <v>186</v>
      </c>
      <c r="D47" s="1343" t="s">
        <v>187</v>
      </c>
      <c r="E47" s="2259"/>
      <c r="F47" s="2259"/>
      <c r="G47" s="2259"/>
      <c r="H47" s="2259"/>
      <c r="I47" s="2256" t="str">
        <f>S46&amp;".1"</f>
        <v>....1</v>
      </c>
      <c r="J47" s="1343"/>
      <c r="K47" s="1343"/>
      <c r="L47" s="1346" t="s">
        <v>405</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r="48" ht="22" customHeight="1">
      <c r="A48" s="1363" t="s">
        <v>184</v>
      </c>
      <c r="B48" s="1363" t="s">
        <v>185</v>
      </c>
      <c r="C48" s="1363" t="s">
        <v>186</v>
      </c>
      <c r="D48" s="1363" t="s">
        <v>187</v>
      </c>
      <c r="E48" s="2259"/>
      <c r="F48" s="2259"/>
      <c r="G48" s="2259"/>
      <c r="H48" s="2259"/>
      <c r="I48" s="2286"/>
      <c r="J48" s="2256" t="str">
        <f>S46&amp;".1"</f>
        <v>....1</v>
      </c>
      <c r="K48" s="1363"/>
      <c r="L48" s="1364" t="s">
        <v>408</v>
      </c>
      <c r="P48" s="2257"/>
      <c r="Q48" s="2257">
        <v>1</v>
      </c>
      <c r="R48" s="357"/>
      <c r="S48" s="1336" t="str">
        <f>$J48</f>
        <v>....1</v>
      </c>
      <c r="T48" s="286" t="s">
        <v>409</v>
      </c>
      <c r="U48" s="300"/>
      <c r="V48" s="2245"/>
      <c r="W48" s="2246"/>
      <c r="X48" s="2246"/>
      <c r="Y48" s="2246"/>
      <c r="Z48" s="2246"/>
      <c r="AA48" s="2246"/>
      <c r="AB48" s="2246"/>
      <c r="AC48" s="2247"/>
      <c r="AD48" s="2245"/>
      <c r="AE48" s="2246"/>
      <c r="AF48" s="2246"/>
      <c r="AG48" s="2246"/>
      <c r="AH48" s="2246"/>
      <c r="AI48" s="2246"/>
      <c r="AJ48" s="2246"/>
      <c r="AK48" s="2246"/>
      <c r="AL48" s="2247"/>
      <c r="AM48" s="1258" t="s">
        <v>410</v>
      </c>
      <c r="AO48" s="500"/>
      <c r="AP48" s="500" t="str">
        <f>IF(T48="","",T48)</f>
        <v xml:space="preserve">Группа потребителей</v>
      </c>
      <c r="AQ48" s="500"/>
      <c r="AR48" s="500"/>
      <c r="AS48" s="1155">
        <v>21</v>
      </c>
    </row>
    <row r="49" ht="22" customHeight="1">
      <c r="A49" s="1363" t="s">
        <v>184</v>
      </c>
      <c r="B49" s="1363" t="s">
        <v>185</v>
      </c>
      <c r="C49" s="1363" t="s">
        <v>186</v>
      </c>
      <c r="D49" s="1363" t="s">
        <v>187</v>
      </c>
      <c r="E49" s="2259"/>
      <c r="F49" s="2259"/>
      <c r="G49" s="2259"/>
      <c r="H49" s="2259"/>
      <c r="I49" s="2286"/>
      <c r="J49" s="2286"/>
      <c r="K49" s="2256" t="str">
        <f>J48&amp;".1"</f>
        <v>....1.1</v>
      </c>
      <c r="L49" s="1364" t="s">
        <v>411</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453</v>
      </c>
      <c r="AN49" s="511">
        <f>STRCHECKDATE(V50:AL50)</f>
      </c>
      <c r="AO49" s="500"/>
      <c r="AP49" s="500" t="str">
        <f>IF(T49="","",T49)</f>
        <v/>
      </c>
      <c r="AQ49" s="500"/>
      <c r="AR49" s="500"/>
      <c r="AS49" s="1155">
        <v>21</v>
      </c>
    </row>
    <row r="50" ht="1.05" customHeight="1">
      <c r="A50" s="1363" t="s">
        <v>184</v>
      </c>
      <c r="B50" s="1363" t="s">
        <v>185</v>
      </c>
      <c r="C50" s="1363" t="s">
        <v>186</v>
      </c>
      <c r="D50" s="1363" t="s">
        <v>187</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r="51" ht="11.5" customHeight="1">
      <c r="A51" s="1363" t="s">
        <v>184</v>
      </c>
      <c r="B51" s="1363" t="s">
        <v>185</v>
      </c>
      <c r="C51" s="1363" t="s">
        <v>186</v>
      </c>
      <c r="D51" s="1363" t="s">
        <v>187</v>
      </c>
      <c r="E51" s="2259"/>
      <c r="F51" s="2259"/>
      <c r="G51" s="2259"/>
      <c r="H51" s="2259"/>
      <c r="I51" s="2286"/>
      <c r="J51" s="2256"/>
      <c r="K51" s="1363"/>
      <c r="L51" s="1364"/>
      <c r="P51" s="2257"/>
      <c r="Q51" s="2257"/>
      <c r="R51" s="356"/>
      <c r="S51" s="1278"/>
      <c r="T51" s="287" t="s">
        <v>413</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 xml:space="preserve">Добавить вид теплоносителя (параметры теплоносителя)</v>
      </c>
      <c r="AQ51" s="500"/>
      <c r="AR51" s="500"/>
      <c r="AS51" s="1155">
        <v>11</v>
      </c>
    </row>
    <row r="52" ht="11.5" customHeight="1">
      <c r="A52" s="1363" t="s">
        <v>184</v>
      </c>
      <c r="B52" s="1363" t="s">
        <v>185</v>
      </c>
      <c r="C52" s="1363" t="s">
        <v>186</v>
      </c>
      <c r="D52" s="1363" t="s">
        <v>187</v>
      </c>
      <c r="E52" s="2259"/>
      <c r="F52" s="2259"/>
      <c r="G52" s="2259"/>
      <c r="H52" s="2259"/>
      <c r="I52" s="2256"/>
      <c r="J52" s="1363"/>
      <c r="K52" s="1363"/>
      <c r="L52" s="1364"/>
      <c r="P52" s="2257"/>
      <c r="Q52" s="1331"/>
      <c r="R52" s="356"/>
      <c r="S52" s="1278"/>
      <c r="T52" s="365" t="s">
        <v>414</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 xml:space="preserve">Добавить группу потребителей</v>
      </c>
      <c r="AQ52" s="500"/>
      <c r="AR52" s="500"/>
      <c r="AS52" s="1155">
        <v>11</v>
      </c>
    </row>
    <row r="53" ht="0" customHeight="1">
      <c r="A53" s="1363" t="s">
        <v>184</v>
      </c>
      <c r="B53" s="1363" t="s">
        <v>185</v>
      </c>
      <c r="C53" s="1363" t="s">
        <v>186</v>
      </c>
      <c r="D53" s="1363" t="s">
        <v>187</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r="54" s="1642" customFormat="1" ht="1.05" customHeight="1">
      <c r="A54" s="1343" t="s">
        <v>184</v>
      </c>
      <c r="B54" s="1343" t="s">
        <v>185</v>
      </c>
      <c r="C54" s="1343" t="s">
        <v>186</v>
      </c>
      <c r="D54" s="1314"/>
      <c r="E54" s="2259"/>
      <c r="F54" s="2259"/>
      <c r="G54" s="2258"/>
      <c r="H54" s="1314"/>
      <c r="I54" s="1314"/>
      <c r="J54" s="1314"/>
      <c r="K54" s="1314"/>
      <c r="L54" s="1339"/>
      <c r="M54" s="1315"/>
      <c r="N54" s="1315"/>
      <c r="P54" s="1316"/>
      <c r="Q54" s="1317"/>
      <c r="R54" s="1316"/>
      <c r="S54" s="1322"/>
      <c r="T54" s="1325" t="s">
        <v>416</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 xml:space="preserve">Добавить источник для дифференциации</v>
      </c>
      <c r="AQ54" s="789"/>
      <c r="AR54" s="789"/>
      <c r="AS54" s="518">
        <v>1</v>
      </c>
    </row>
    <row r="55" s="1642" customFormat="1" ht="1.05" customHeight="1">
      <c r="A55" s="1343" t="s">
        <v>184</v>
      </c>
      <c r="B55" s="1343" t="s">
        <v>185</v>
      </c>
      <c r="C55" s="1314"/>
      <c r="D55" s="1314"/>
      <c r="E55" s="2259"/>
      <c r="F55" s="2258"/>
      <c r="G55" s="1314"/>
      <c r="H55" s="1314"/>
      <c r="I55" s="1314"/>
      <c r="J55" s="1314"/>
      <c r="K55" s="1314"/>
      <c r="L55" s="1339"/>
      <c r="M55" s="1321"/>
      <c r="N55" s="1321"/>
      <c r="P55" s="1316"/>
      <c r="Q55" s="1317"/>
      <c r="R55" s="1316"/>
      <c r="S55" s="1322"/>
      <c r="T55" s="1325" t="s">
        <v>417</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 xml:space="preserve">Добавить централизованную систему для дифференциации</v>
      </c>
      <c r="AQ55" s="789"/>
      <c r="AR55" s="789"/>
      <c r="AS55" s="518">
        <v>1</v>
      </c>
    </row>
    <row r="56" s="1642" customFormat="1" ht="1.05" customHeight="1">
      <c r="A56" s="1343" t="s">
        <v>184</v>
      </c>
      <c r="B56" s="1343"/>
      <c r="C56" s="1343"/>
      <c r="D56" s="1343"/>
      <c r="E56" s="2258"/>
      <c r="F56" s="1343"/>
      <c r="G56" s="1343"/>
      <c r="H56" s="1343"/>
      <c r="I56" s="1343"/>
      <c r="J56" s="1343"/>
      <c r="K56" s="1343"/>
      <c r="L56" s="1346"/>
      <c r="M56" s="1321"/>
      <c r="N56" s="1321"/>
      <c r="O56" s="518"/>
      <c r="P56" s="380"/>
      <c r="Q56" s="1344"/>
      <c r="R56" s="380"/>
      <c r="S56" s="1322"/>
      <c r="T56" s="1325" t="s">
        <v>418</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 xml:space="preserve">Добавить территорию для дифференциации</v>
      </c>
      <c r="AQ56" s="500"/>
      <c r="AR56" s="500"/>
      <c r="AS56" s="511">
        <v>1</v>
      </c>
    </row>
    <row r="57" s="1642" customFormat="1" ht="1.05" customHeight="1">
      <c r="A57" s="1314"/>
      <c r="B57" s="1314"/>
      <c r="C57" s="1314"/>
      <c r="D57" s="1314"/>
      <c r="E57" s="1343"/>
      <c r="F57" s="1314"/>
      <c r="G57" s="1314"/>
      <c r="H57" s="1314"/>
      <c r="I57" s="1314"/>
      <c r="J57" s="1314"/>
      <c r="K57" s="1314"/>
      <c r="L57" s="1339"/>
      <c r="M57" s="1321"/>
      <c r="N57" s="1321"/>
      <c r="P57" s="1316"/>
      <c r="Q57" s="1317"/>
      <c r="R57" s="1316"/>
      <c r="S57" s="1322"/>
      <c r="T57" s="1325" t="s">
        <v>450</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 xml:space="preserve">Добавить наименование тарифа</v>
      </c>
      <c r="AQ57" s="789"/>
      <c r="AR57" s="789"/>
      <c r="AS57" s="518">
        <v>1</v>
      </c>
    </row>
    <row r="58" ht="11.5" customHeight="1">
      <c r="M58" s="1160"/>
      <c r="N58" s="1160"/>
      <c r="O58" s="537"/>
      <c r="P58" s="1155"/>
      <c r="Q58" s="1155"/>
      <c r="R58" s="1155"/>
      <c r="S58" s="1155"/>
      <c r="AN58" s="1155"/>
      <c r="AO58" s="1155"/>
      <c r="AP58" s="1155"/>
      <c r="AQ58" s="1155"/>
      <c r="AR58" s="1155"/>
      <c r="AS58" s="1155">
        <v>11</v>
      </c>
    </row>
    <row r="59" ht="23.25" customHeight="1">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r="60" ht="30.449999999999999" customHeight="1">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r="61" ht="42" customHeight="1">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r="62" ht="14.65" customHeight="1">
      <c r="O62" s="537"/>
      <c r="AS62" s="1155">
        <v>14</v>
      </c>
    </row>
    <row r="63" ht="21" customHeight="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r="64" ht="29.25" customHeight="1">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r="65" ht="35.649999999999999" customHeight="1">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r="66" ht="22.5" hidden="1" customHeight="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autoFilter="0" deleteColumns="0" deleteRows="0" formatColumns="0" formatRows="0" insertColumns="1" insertRows="0" sort="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4">
    <dataValidation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allowBlank="1" promptTitle="checkPeriodRange"/>
    <dataValidation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allowBlank="1" prompt="Для выбора выполните двойной щелчок левой клавиши мыши по соответствующей ячейке." showErrorMessage="1" showInputMessage="1"/>
    <dataValidation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llowBlank="1" prompt="Выберите дату из календаря (иконка справа от указанной ячейки), либо введите дату непосредственно в ячейку в формате - 'ДД.ММ.ГГГГ'." showErrorMessage="1" showInputMessage="1"/>
    <dataValidation sqref="S131123:AM131129 S196659:AM196665 S262195:AM262201 S327731:AM327737 S393267:AM393273 S458803:AM458809 S524339:AM524345 S589875:AM589881 S655411:AM655417 S720947:AM720953 S786483:AM786489 S852019:AM852025 S917555:AM917561 S983091:AM983097 S65587:AM65593" allowBlank="1"/>
  </dataValidations>
  <pageMargins left="0.69999999999999996" right="0.69999999999999996" top="0.75" bottom="0.75" header="0.29999999999999999" footer="0.29999999999999999"/>
  <pageSetup paperSize="9"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x14:dataValidation xr:uid="{009900C9-008F-47F4-ACD8-00CC00F500BE}" type="list" allowBlank="1" error="Выберите значение из списка" errorTitle="Ошибка" showErrorMessage="1" showInputMessage="1">
          <x14:formula1>
            <xm:f>kind_of_heat_transfer</xm:f>
          </x14:formula1>
          <xm:sqref>T65585 T131121 T196657 T262193 T327729 T393265 T458801 T524337 T589873 T655409 T720945 T786481 T852017 T917553 T983089</xm:sqref>
        </x14:dataValidation>
        <x14:dataValidation xr:uid="{00120060-0087-4102-AEFA-00F2009D004A}" type="textLength" allowBlank="1" error="Допускается ввод не более 900 символов!" errorTitle="Ошибка" operator="lessThanOrEqual" showErrorMessage="1" showInputMessage="1">
          <x14:formula1>
            <xm:f>900</xm:f>
          </x14:formula1>
          <xm:sqref>AM65579:AM65586 AM131115:AM131122 AM196651:AM196658 AM262187:AM262194 AM327723:AM327730 AM393259:AM393266 AM458795:AM458802 AM524331:AM524338 AM589867:AM589874 AM655403:AM655410 AM720939:AM720946 AM786475:AM786482 AM852011:AM852018 AM917547:AM917554 AM983083:AM983090</xm:sqref>
        </x14:dataValidation>
        <x14:dataValidation xr:uid="{00090046-00B5-4200-BC8C-00D3006C00F6}" type="list" allowBlank="1" error="Выберите значение из списка" errorTitle="Ошибка" showErrorMessage="1" showInputMessage="1">
          <x14:formula1>
            <xm:f>kind_of_scheme_in</xm:f>
          </x14:formula1>
          <xm: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xm:sqref>
        </x14:dataValidation>
        <x14:dataValidation xr:uid="{007000E3-0099-45B2-B101-00AD00B5002C}" type="list" allowBlank="1" error="Выберите значение из списка" errorTitle="Ошибка" prompt="Выберите значение из списка" showInputMessage="1">
          <x14:formula1>
            <xm:f>kind_of_cons</xm:f>
          </x14:formula1>
          <xm:sqref>V983088:AL983088 V65584:AL65584 V131120:AL131120 V196656:AL196656 V262192:AL262192 V327728:AL327728 V393264:AL393264 V458800:AL458800 V524336:AL524336 V589872:AL589872 V655408:AL655408 V720944:AL720944 V786480:AL786480 V852016:AL852016 V917552:AL917552</xm:sqref>
        </x14:dataValidation>
      </x14:dataValidation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sheetPr>
  <sheetViews>
    <sheetView showGridLines="0" topLeftCell="A1" zoomScale="90" workbookViewId="0">
      <selection activeCell="A1" sqref="A1"/>
    </sheetView>
  </sheetViews>
  <sheetFormatPr defaultColWidth="10.57421875" defaultRowHeight="14.25" customHeight="1"/>
  <cols>
    <col hidden="1" min="1" max="1" style="1366" width="10.57421875"/>
    <col customWidth="1" hidden="1" min="2" max="2" style="1366" width="11.00390625"/>
    <col hidden="1" min="3" max="3" style="1366" width="10.57421875"/>
    <col customWidth="1" hidden="1" min="4" max="4" style="1366" width="11.8515625"/>
    <col customWidth="1" hidden="1" min="5" max="5" style="1366" width="10.00390625"/>
    <col customWidth="1" hidden="1" min="6" max="6" style="1366" width="8.7109375"/>
    <col customWidth="1" hidden="1" min="7" max="7" style="1366" width="7.57421875"/>
    <col customWidth="1" hidden="1" min="8" max="8" style="1366" width="11.421875"/>
    <col customWidth="1" hidden="1" min="9" max="9" style="1366" width="12.00390625"/>
    <col customWidth="1" hidden="1" min="10" max="10" style="1366" width="9.8515625"/>
    <col customWidth="1" hidden="1" min="11" max="11" style="1366" width="11.421875"/>
    <col customWidth="1" hidden="1" min="12" max="12" style="2607" width="19.140625"/>
    <col customWidth="1" hidden="1" min="13" max="14" style="1776" width="12.28125"/>
    <col customWidth="1" hidden="1" min="15" max="15" style="1776" width="23.421875"/>
    <col customWidth="1" hidden="1" min="16" max="16" style="2397" width="3.7109375"/>
    <col customWidth="1" min="17" max="18" style="344" width="3.00390625"/>
    <col customWidth="1" min="19" max="19" style="2407" width="12.00390625"/>
    <col customWidth="1" min="20" max="20" style="1635" width="31.00390625"/>
    <col customWidth="1" min="21" max="21" style="1635" width="0.140625"/>
    <col customWidth="1" hidden="1" min="22" max="22" style="1635" width="24.7109375"/>
    <col customWidth="1" hidden="1" min="23" max="23" style="1635" width="0.140625"/>
    <col customWidth="1" hidden="1" min="24" max="25" style="1635" width="24.7109375"/>
    <col customWidth="1" hidden="1" min="26" max="26" style="1635" width="11.7109375"/>
    <col customWidth="1" hidden="1" min="27" max="27" style="1635" width="3.7109375"/>
    <col customWidth="1" hidden="1" min="28" max="28" style="1635" width="11.7109375"/>
    <col customWidth="1" hidden="1" min="29" max="29" style="1635" width="8.57421875"/>
    <col customWidth="1" min="30" max="30" style="1635" width="24.7109375"/>
    <col customWidth="1" min="31" max="31" style="1635" width="0.140625"/>
    <col customWidth="1" min="32" max="33" style="1635" width="24.00390625"/>
    <col customWidth="1" min="34" max="34" style="1635" width="11.00390625"/>
    <col customWidth="1" min="35" max="35" style="1635" width="3.7109375"/>
    <col customWidth="1" min="36" max="36" style="1635" width="11.00390625"/>
    <col customWidth="1" hidden="1" min="37" max="37" style="1635" width="8.57421875"/>
    <col customWidth="1" min="38" max="38" style="1635" width="4.00390625"/>
    <col customWidth="1" min="39" max="39" style="1635" width="115.00390625"/>
    <col customWidth="1" min="40" max="44" style="1642" width="10.00390625"/>
    <col hidden="1" min="45" max="45" style="1635" width="10.57421875"/>
  </cols>
  <sheetData>
    <row r="1" ht="22.5" hidden="1" customHeight="1">
      <c r="Y1" s="327"/>
      <c r="Z1" s="327"/>
      <c r="AG1" s="327"/>
      <c r="AH1" s="327"/>
      <c r="AS1" s="1155" t="s">
        <v>14</v>
      </c>
    </row>
    <row r="2" ht="21" hidden="1" customHeight="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127</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398</v>
      </c>
      <c r="AO2" s="500"/>
      <c r="AP2" s="500" t="str">
        <f>IF(T2="","",T2)</f>
        <v xml:space="preserve">Наименование тарифа</v>
      </c>
      <c r="AQ2" s="500"/>
      <c r="AR2" s="500"/>
      <c r="AS2" s="1155">
        <v>0</v>
      </c>
    </row>
    <row r="3" ht="21" hidden="1" customHeight="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400</v>
      </c>
      <c r="AO3" s="500"/>
      <c r="AP3" s="500" t="str">
        <f>IF(T3="","",T3)</f>
        <v xml:space="preserve">Территория действия тарифа</v>
      </c>
      <c r="AQ3" s="500"/>
      <c r="AR3" s="500"/>
      <c r="AS3" s="1155">
        <v>0</v>
      </c>
    </row>
    <row r="4" ht="23.25" hidden="1" customHeight="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401</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402</v>
      </c>
      <c r="AO4" s="500"/>
      <c r="AP4" s="500" t="str">
        <f>IF(T4="","",T4)</f>
        <v xml:space="preserve">Наименование системы теплоснабжения</v>
      </c>
      <c r="AQ4" s="500"/>
      <c r="AR4" s="500"/>
      <c r="AS4" s="1155">
        <v>0</v>
      </c>
    </row>
    <row r="5" ht="21" hidden="1" customHeight="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403</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404</v>
      </c>
      <c r="AO5" s="500"/>
      <c r="AP5" s="500" t="str">
        <f>IF(T5="","",T5)</f>
        <v xml:space="preserve">Источник тепловой энергии</v>
      </c>
      <c r="AQ5" s="500"/>
      <c r="AR5" s="500"/>
      <c r="AS5" s="1155">
        <v>0</v>
      </c>
    </row>
    <row r="6" ht="14.25" hidden="1" customHeight="1">
      <c r="A6" s="1363"/>
      <c r="B6" s="1363"/>
      <c r="C6" s="1363"/>
      <c r="D6" s="1363"/>
      <c r="E6" s="2259"/>
      <c r="F6" s="2259"/>
      <c r="G6" s="2259"/>
      <c r="H6" s="2259"/>
      <c r="I6" s="2256">
        <f>S5&amp;".1"</f>
      </c>
      <c r="J6" s="1363"/>
      <c r="K6" s="1363"/>
      <c r="L6" s="1364" t="s">
        <v>405</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r="7" ht="21" hidden="1" customHeight="1">
      <c r="A7" s="1363"/>
      <c r="B7" s="1363"/>
      <c r="C7" s="1363"/>
      <c r="D7" s="1363"/>
      <c r="E7" s="2259"/>
      <c r="F7" s="2259"/>
      <c r="G7" s="2259"/>
      <c r="H7" s="2259"/>
      <c r="I7" s="2286"/>
      <c r="J7" s="2256">
        <f>I6&amp;".1"</f>
      </c>
      <c r="K7" s="1363"/>
      <c r="L7" s="1364" t="s">
        <v>408</v>
      </c>
      <c r="M7" s="537"/>
      <c r="N7" s="1366"/>
      <c r="P7" s="2257"/>
      <c r="Q7" s="2257">
        <v>1</v>
      </c>
      <c r="R7" s="357"/>
      <c r="S7" s="1336">
        <f>$J7</f>
      </c>
      <c r="T7" s="286" t="s">
        <v>409</v>
      </c>
      <c r="U7" s="300"/>
      <c r="V7" s="2245"/>
      <c r="W7" s="2246"/>
      <c r="X7" s="2246"/>
      <c r="Y7" s="2246"/>
      <c r="Z7" s="2246"/>
      <c r="AA7" s="2246"/>
      <c r="AB7" s="2246"/>
      <c r="AC7" s="2247"/>
      <c r="AD7" s="2245"/>
      <c r="AE7" s="2246"/>
      <c r="AF7" s="2246"/>
      <c r="AG7" s="2246"/>
      <c r="AH7" s="2246"/>
      <c r="AI7" s="2246"/>
      <c r="AJ7" s="2246"/>
      <c r="AK7" s="2246"/>
      <c r="AL7" s="2247"/>
      <c r="AM7" s="1258" t="s">
        <v>410</v>
      </c>
      <c r="AO7" s="500"/>
      <c r="AP7" s="500" t="str">
        <f>IF(T7="","",T7)</f>
        <v xml:space="preserve">Группа потребителей</v>
      </c>
      <c r="AQ7" s="500"/>
      <c r="AR7" s="500"/>
      <c r="AS7" s="1155">
        <v>0</v>
      </c>
    </row>
    <row r="8" ht="21" hidden="1" customHeight="1">
      <c r="A8" s="1363"/>
      <c r="B8" s="1363"/>
      <c r="C8" s="1363"/>
      <c r="D8" s="1363"/>
      <c r="E8" s="2259"/>
      <c r="F8" s="2259"/>
      <c r="G8" s="2259"/>
      <c r="H8" s="2259"/>
      <c r="I8" s="2286"/>
      <c r="J8" s="2286"/>
      <c r="K8" s="2256">
        <f>J7&amp;".1"</f>
      </c>
      <c r="L8" s="1364" t="s">
        <v>411</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412</v>
      </c>
      <c r="AN8" s="511">
        <f>STRCHECKDATE(V9:AL9)</f>
      </c>
      <c r="AO8" s="500"/>
      <c r="AP8" s="500" t="str">
        <f>IF(T8="","",T8)</f>
        <v/>
      </c>
      <c r="AQ8" s="500"/>
      <c r="AR8" s="500"/>
      <c r="AS8" s="1155">
        <v>0</v>
      </c>
    </row>
    <row r="9" ht="14.25" hidden="1" customHeight="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r="10" ht="15" hidden="1" customHeight="1">
      <c r="A10" s="1363"/>
      <c r="B10" s="1363"/>
      <c r="C10" s="1363"/>
      <c r="D10" s="1363"/>
      <c r="E10" s="2259"/>
      <c r="F10" s="2259"/>
      <c r="G10" s="2259"/>
      <c r="H10" s="2259"/>
      <c r="I10" s="2286"/>
      <c r="J10" s="2256"/>
      <c r="K10" s="1363"/>
      <c r="L10" s="1364"/>
      <c r="M10" s="537"/>
      <c r="N10" s="1366"/>
      <c r="P10" s="2257"/>
      <c r="Q10" s="2257"/>
      <c r="R10" s="356"/>
      <c r="S10" s="1278"/>
      <c r="T10" s="287" t="s">
        <v>413</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 xml:space="preserve">Добавить вид теплоносителя (параметры теплоносителя)</v>
      </c>
      <c r="AQ10" s="500"/>
      <c r="AR10" s="500"/>
      <c r="AS10" s="1155">
        <v>0</v>
      </c>
    </row>
    <row r="11" ht="11.25" hidden="1" customHeight="1">
      <c r="A11" s="1363"/>
      <c r="B11" s="1363"/>
      <c r="C11" s="1363"/>
      <c r="D11" s="1363"/>
      <c r="E11" s="2259"/>
      <c r="F11" s="2259"/>
      <c r="G11" s="2259"/>
      <c r="H11" s="2259"/>
      <c r="I11" s="2256"/>
      <c r="J11" s="1363"/>
      <c r="K11" s="1363"/>
      <c r="L11" s="1364"/>
      <c r="M11" s="537"/>
      <c r="P11" s="2257"/>
      <c r="Q11" s="1331"/>
      <c r="R11" s="356"/>
      <c r="S11" s="1278"/>
      <c r="T11" s="365" t="s">
        <v>414</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 xml:space="preserve">Добавить группу потребителей</v>
      </c>
      <c r="AQ11" s="500"/>
      <c r="AR11" s="500"/>
      <c r="AS11" s="1155">
        <v>0</v>
      </c>
    </row>
    <row r="12" ht="14.25" hidden="1" customHeight="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r="13" s="1642" customFormat="1" ht="14.25" hidden="1" customHeight="1">
      <c r="A13" s="1314"/>
      <c r="B13" s="1314"/>
      <c r="C13" s="1314"/>
      <c r="D13" s="1314"/>
      <c r="E13" s="2259"/>
      <c r="F13" s="2259"/>
      <c r="G13" s="2258"/>
      <c r="H13" s="1314"/>
      <c r="I13" s="1314"/>
      <c r="J13" s="1314"/>
      <c r="K13" s="1314"/>
      <c r="L13" s="1339"/>
      <c r="M13" s="1315"/>
      <c r="N13" s="1315"/>
      <c r="P13" s="1316"/>
      <c r="Q13" s="1317"/>
      <c r="R13" s="1316"/>
      <c r="S13" s="1318"/>
      <c r="T13" s="1319" t="s">
        <v>416</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 xml:space="preserve">Добавить источник для дифференциации</v>
      </c>
      <c r="AQ13" s="789"/>
      <c r="AR13" s="789"/>
      <c r="AS13" s="518">
        <v>0</v>
      </c>
    </row>
    <row r="14" s="1642" customFormat="1" ht="14.25" hidden="1" customHeight="1">
      <c r="A14" s="1314"/>
      <c r="B14" s="1314"/>
      <c r="C14" s="1314"/>
      <c r="D14" s="1314"/>
      <c r="E14" s="2259"/>
      <c r="F14" s="2258"/>
      <c r="G14" s="1314"/>
      <c r="H14" s="1314"/>
      <c r="I14" s="1314"/>
      <c r="J14" s="1314"/>
      <c r="K14" s="1314"/>
      <c r="L14" s="1339"/>
      <c r="M14" s="1321"/>
      <c r="N14" s="1321"/>
      <c r="P14" s="1316"/>
      <c r="Q14" s="1317"/>
      <c r="R14" s="1316"/>
      <c r="S14" s="1322"/>
      <c r="T14" s="1323" t="s">
        <v>417</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 xml:space="preserve">Добавить централизованную систему для дифференциации</v>
      </c>
      <c r="AQ14" s="789"/>
      <c r="AR14" s="789"/>
      <c r="AS14" s="518">
        <v>0</v>
      </c>
    </row>
    <row r="15" s="1642" customFormat="1" ht="14.25" hidden="1" customHeight="1">
      <c r="A15" s="1314"/>
      <c r="B15" s="1314"/>
      <c r="C15" s="1314"/>
      <c r="D15" s="1314"/>
      <c r="E15" s="2258"/>
      <c r="F15" s="1314"/>
      <c r="G15" s="1314"/>
      <c r="H15" s="1314"/>
      <c r="I15" s="1314"/>
      <c r="J15" s="1314"/>
      <c r="K15" s="1314"/>
      <c r="L15" s="1339"/>
      <c r="M15" s="1321"/>
      <c r="N15" s="1321"/>
      <c r="P15" s="1316"/>
      <c r="Q15" s="1317"/>
      <c r="R15" s="1316"/>
      <c r="S15" s="1322"/>
      <c r="T15" s="1325" t="s">
        <v>418</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 xml:space="preserve">Добавить территорию для дифференциации</v>
      </c>
      <c r="AQ15" s="789"/>
      <c r="AR15" s="789"/>
      <c r="AS15" s="518">
        <v>0</v>
      </c>
    </row>
    <row r="16" ht="14.25" hidden="1" customHeight="1">
      <c r="AC16" s="327"/>
      <c r="AK16" s="327"/>
      <c r="AS16" s="1155">
        <v>0</v>
      </c>
    </row>
    <row r="17" ht="14.25" hidden="1" customHeight="1">
      <c r="AD17" s="1360"/>
      <c r="AE17" s="1360"/>
      <c r="AF17" s="1360"/>
      <c r="AG17" s="1361"/>
      <c r="AH17" s="2267"/>
      <c r="AI17" s="2268" t="s">
        <v>65</v>
      </c>
      <c r="AJ17" s="2267"/>
      <c r="AK17" s="2268" t="s">
        <v>65</v>
      </c>
      <c r="AS17" s="1155">
        <v>0</v>
      </c>
    </row>
    <row r="18" ht="14.25" hidden="1" customHeight="1">
      <c r="AD18" s="1360"/>
      <c r="AE18" s="1360"/>
      <c r="AF18" s="1360"/>
      <c r="AG18" s="328" t="str">
        <f>AH17&amp;"-"&amp;AJ17</f>
        <v>-</v>
      </c>
      <c r="AH18" s="2268"/>
      <c r="AI18" s="2268"/>
      <c r="AJ18" s="2268"/>
      <c r="AK18" s="2268"/>
      <c r="AS18" s="1155">
        <v>0</v>
      </c>
    </row>
    <row r="19" ht="14.25" hidden="1" customHeight="1">
      <c r="AK19" s="327"/>
      <c r="AS19" s="1155">
        <v>0</v>
      </c>
    </row>
    <row r="20" s="1366" customFormat="1" ht="22.5" hidden="1" customHeight="1">
      <c r="L20" s="1329"/>
      <c r="M20" s="1362"/>
      <c r="N20" s="1362"/>
      <c r="O20" s="1367" t="s">
        <v>419</v>
      </c>
      <c r="P20" s="1362"/>
      <c r="Q20" s="1371"/>
      <c r="R20" s="1371"/>
      <c r="S20" s="729"/>
      <c r="Z20" s="1367"/>
      <c r="AB20" s="1367"/>
      <c r="AC20" s="1366"/>
      <c r="AH20" s="1367"/>
      <c r="AJ20" s="1367"/>
      <c r="AK20" s="1366"/>
      <c r="AN20" s="511"/>
      <c r="AO20" s="511"/>
      <c r="AP20" s="511"/>
      <c r="AQ20" s="511"/>
      <c r="AR20" s="511"/>
      <c r="AS20" s="1160">
        <v>0</v>
      </c>
    </row>
    <row r="21" s="1366" customFormat="1" ht="14.25" hidden="1" customHeight="1">
      <c r="L21" s="1329"/>
      <c r="M21" s="1362"/>
      <c r="N21" s="1362"/>
      <c r="O21" s="1362"/>
      <c r="P21" s="1362"/>
      <c r="Q21" s="1371"/>
      <c r="R21" s="1371"/>
      <c r="S21" s="729"/>
      <c r="AC21" s="1366"/>
      <c r="AK21" s="1366"/>
      <c r="AN21" s="511"/>
      <c r="AO21" s="511"/>
      <c r="AP21" s="511"/>
      <c r="AQ21" s="511"/>
      <c r="AR21" s="511"/>
      <c r="AS21" s="1160">
        <v>0</v>
      </c>
    </row>
    <row r="22" s="1366" customFormat="1" ht="14.25" hidden="1" customHeight="1">
      <c r="L22" s="1329"/>
      <c r="M22" s="1362"/>
      <c r="N22" s="1362"/>
      <c r="O22" s="1364" t="s">
        <v>420</v>
      </c>
      <c r="P22" s="1362"/>
      <c r="Q22" s="1371"/>
      <c r="R22" s="1371"/>
      <c r="S22" s="729"/>
      <c r="T22" s="1160" t="s">
        <v>421</v>
      </c>
      <c r="AA22" s="186" t="s">
        <v>422</v>
      </c>
      <c r="AC22" s="186" t="s">
        <v>423</v>
      </c>
      <c r="AD22" s="1160" t="s">
        <v>421</v>
      </c>
      <c r="AI22" s="186" t="s">
        <v>424</v>
      </c>
      <c r="AK22" s="186" t="s">
        <v>423</v>
      </c>
      <c r="AN22" s="511"/>
      <c r="AO22" s="511"/>
      <c r="AP22" s="511"/>
      <c r="AQ22" s="511"/>
      <c r="AR22" s="511"/>
      <c r="AS22" s="1160">
        <v>0</v>
      </c>
    </row>
    <row r="23" ht="14.25" hidden="1" customHeight="1">
      <c r="O23" s="1364"/>
      <c r="AS23" s="1155">
        <v>0</v>
      </c>
    </row>
    <row r="24" ht="14.25" hidden="1" customHeight="1">
      <c r="O24" s="1364"/>
      <c r="AS24" s="1155">
        <v>0</v>
      </c>
    </row>
    <row r="25" ht="14.65" customHeight="1">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r="26" ht="53.5" customHeight="1">
      <c r="Q26" s="376"/>
      <c r="R26" s="376"/>
      <c r="S26" s="2248" t="str">
        <f>IF(TEMPLATE_GROUP="P",PT_P_FORM_HEAT_5_NAME_FORM,PT_R_FORM_HEAT_22_NAME_FORM)</f>
        <v xml:space="preserve">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r="27" ht="14.65" customHeight="1">
      <c r="Q27" s="376"/>
      <c r="R27" s="376"/>
      <c r="S27" s="2249" t="str">
        <f>IF(org=0,"Не определено",org)</f>
        <v xml:space="preserve">филиал ПАО "ОГК-2" - Рязанская ГРЭС</v>
      </c>
      <c r="T27" s="2249"/>
      <c r="U27" s="2249"/>
      <c r="V27" s="2249"/>
      <c r="W27" s="2249"/>
      <c r="X27" s="2249"/>
      <c r="Y27" s="2249"/>
      <c r="Z27" s="2249"/>
      <c r="AA27" s="2249"/>
      <c r="AB27" s="2249"/>
      <c r="AC27" s="2249"/>
      <c r="AD27" s="2249"/>
      <c r="AE27" s="2249"/>
      <c r="AF27" s="2249"/>
      <c r="AG27" s="2249"/>
      <c r="AH27" s="2249"/>
      <c r="AI27" s="2249"/>
      <c r="AJ27" s="2249"/>
      <c r="AK27" s="1243"/>
      <c r="AS27" s="1155">
        <v>14</v>
      </c>
    </row>
    <row r="28" ht="14.25" hidden="1" customHeight="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r="29" s="1853" customFormat="1" ht="25.5" hidden="1" customHeight="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r="30" s="1853" customFormat="1" ht="18.75" hidden="1" customHeight="1">
      <c r="A30" s="1368"/>
      <c r="B30" s="1368"/>
      <c r="C30" s="1368"/>
      <c r="D30" s="1368"/>
      <c r="E30" s="1368"/>
      <c r="F30" s="1368"/>
      <c r="G30" s="1368"/>
      <c r="H30" s="1368"/>
      <c r="I30" s="1368"/>
      <c r="J30" s="1368"/>
      <c r="K30" s="1368"/>
      <c r="L30" s="1369"/>
      <c r="M30" s="1368"/>
      <c r="N30" s="1368"/>
      <c r="O30" s="1368"/>
      <c r="S30" s="2250" t="s">
        <v>425</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r="31" s="1853" customFormat="1" ht="18.75" hidden="1" customHeight="1">
      <c r="A31" s="1368"/>
      <c r="B31" s="1368"/>
      <c r="C31" s="1368"/>
      <c r="D31" s="1368"/>
      <c r="E31" s="1368"/>
      <c r="F31" s="1368"/>
      <c r="G31" s="1368"/>
      <c r="H31" s="1368"/>
      <c r="I31" s="1368"/>
      <c r="J31" s="1368"/>
      <c r="K31" s="1368"/>
      <c r="L31" s="1369"/>
      <c r="M31" s="1368"/>
      <c r="N31" s="1368"/>
      <c r="O31" s="1368"/>
      <c r="S31" s="2250" t="s">
        <v>426</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r="32" s="1853" customFormat="1" ht="18.75" hidden="1" customHeight="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r="33" ht="14.25" hidden="1" customHeight="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r="34" s="1853" customFormat="1" ht="18.75" hidden="1" customHeight="1">
      <c r="A34" s="1368"/>
      <c r="B34" s="1368"/>
      <c r="C34" s="1368"/>
      <c r="D34" s="1368"/>
      <c r="E34" s="1368"/>
      <c r="F34" s="1368"/>
      <c r="G34" s="1368"/>
      <c r="H34" s="1368"/>
      <c r="I34" s="1368"/>
      <c r="J34" s="1368"/>
      <c r="K34" s="1368"/>
      <c r="L34" s="1369"/>
      <c r="M34" s="1368"/>
      <c r="N34" s="1368"/>
      <c r="O34" s="1368"/>
      <c r="S34" s="2250" t="s">
        <v>427</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r="35" s="1853" customFormat="1" ht="25.5" hidden="1" customHeight="1">
      <c r="A35" s="1368"/>
      <c r="B35" s="1368"/>
      <c r="C35" s="1368"/>
      <c r="D35" s="1368"/>
      <c r="E35" s="1368"/>
      <c r="F35" s="1368"/>
      <c r="G35" s="1368"/>
      <c r="H35" s="1368"/>
      <c r="I35" s="1368"/>
      <c r="J35" s="1368"/>
      <c r="K35" s="1368"/>
      <c r="L35" s="1369"/>
      <c r="M35" s="1368"/>
      <c r="N35" s="1368"/>
      <c r="O35" s="1368"/>
      <c r="S35" s="2250" t="s">
        <v>428</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r="36" s="1853" customFormat="1" ht="0" customHeight="1">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429</v>
      </c>
      <c r="AD36" s="326"/>
      <c r="AE36" s="326"/>
      <c r="AF36" s="326"/>
      <c r="AG36" s="326"/>
      <c r="AH36" s="326"/>
      <c r="AI36" s="326"/>
      <c r="AJ36" s="326"/>
      <c r="AK36" s="278" t="s">
        <v>429</v>
      </c>
      <c r="AN36" s="368"/>
      <c r="AO36" s="368"/>
      <c r="AP36" s="368"/>
      <c r="AQ36" s="368"/>
      <c r="AR36" s="368"/>
      <c r="AS36" s="418">
        <v>0</v>
      </c>
    </row>
    <row r="37" ht="14.65" customHeight="1">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r="38" ht="14.65" customHeight="1">
      <c r="Q38" s="376"/>
      <c r="R38" s="376"/>
      <c r="S38" s="2127" t="s">
        <v>302</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303</v>
      </c>
      <c r="AS38" s="1155">
        <v>14</v>
      </c>
    </row>
    <row r="39" ht="14.65" customHeight="1">
      <c r="Q39" s="376"/>
      <c r="R39" s="376"/>
      <c r="S39" s="2273" t="s">
        <v>87</v>
      </c>
      <c r="T39" s="2209" t="s">
        <v>430</v>
      </c>
      <c r="U39" s="301"/>
      <c r="V39" s="2274" t="s">
        <v>431</v>
      </c>
      <c r="W39" s="2275"/>
      <c r="X39" s="2275"/>
      <c r="Y39" s="2275"/>
      <c r="Z39" s="2275"/>
      <c r="AA39" s="2275"/>
      <c r="AB39" s="2276"/>
      <c r="AC39" s="2277" t="s">
        <v>432</v>
      </c>
      <c r="AD39" s="2274" t="s">
        <v>431</v>
      </c>
      <c r="AE39" s="2275"/>
      <c r="AF39" s="2275"/>
      <c r="AG39" s="2275"/>
      <c r="AH39" s="2275"/>
      <c r="AI39" s="2275"/>
      <c r="AJ39" s="2276"/>
      <c r="AK39" s="2277" t="s">
        <v>433</v>
      </c>
      <c r="AL39" s="2280" t="s">
        <v>434</v>
      </c>
      <c r="AM39" s="2127"/>
      <c r="AS39" s="1155">
        <v>14</v>
      </c>
    </row>
    <row r="40" ht="35.649999999999999" customHeight="1">
      <c r="Q40" s="376"/>
      <c r="R40" s="376"/>
      <c r="S40" s="2273"/>
      <c r="T40" s="2209"/>
      <c r="U40" s="1031"/>
      <c r="V40" s="2260" t="s">
        <v>435</v>
      </c>
      <c r="W40" s="2283"/>
      <c r="X40" s="2262" t="s">
        <v>437</v>
      </c>
      <c r="Y40" s="2263"/>
      <c r="Z40" s="2262" t="s">
        <v>438</v>
      </c>
      <c r="AA40" s="2269"/>
      <c r="AB40" s="2263"/>
      <c r="AC40" s="2278"/>
      <c r="AD40" s="2260" t="s">
        <v>452</v>
      </c>
      <c r="AE40" s="2283"/>
      <c r="AF40" s="2262" t="s">
        <v>437</v>
      </c>
      <c r="AG40" s="2263"/>
      <c r="AH40" s="2262" t="s">
        <v>438</v>
      </c>
      <c r="AI40" s="2269"/>
      <c r="AJ40" s="2263"/>
      <c r="AK40" s="2278"/>
      <c r="AL40" s="2281"/>
      <c r="AM40" s="2127"/>
      <c r="AS40" s="1155">
        <v>34</v>
      </c>
    </row>
    <row r="41" ht="35.649999999999999" customHeight="1">
      <c r="A41" s="1370"/>
      <c r="B41" s="1370" t="s">
        <v>139</v>
      </c>
      <c r="C41" s="1370" t="s">
        <v>140</v>
      </c>
      <c r="D41" s="1370" t="s">
        <v>141</v>
      </c>
      <c r="E41" s="1364" t="s">
        <v>439</v>
      </c>
      <c r="F41" s="1364" t="s">
        <v>440</v>
      </c>
      <c r="G41" s="1364" t="s">
        <v>441</v>
      </c>
      <c r="H41" s="1364" t="s">
        <v>442</v>
      </c>
      <c r="I41" s="1364" t="s">
        <v>443</v>
      </c>
      <c r="J41" s="1364" t="s">
        <v>444</v>
      </c>
      <c r="K41" s="1364" t="s">
        <v>445</v>
      </c>
      <c r="L41" s="1364" t="s">
        <v>420</v>
      </c>
      <c r="Q41" s="376"/>
      <c r="R41" s="376"/>
      <c r="S41" s="2273"/>
      <c r="T41" s="2209"/>
      <c r="U41" s="302"/>
      <c r="V41" s="2261"/>
      <c r="W41" s="2284"/>
      <c r="X41" s="1222" t="s">
        <v>446</v>
      </c>
      <c r="Y41" s="1222" t="s">
        <v>447</v>
      </c>
      <c r="Z41" s="1338" t="s">
        <v>448</v>
      </c>
      <c r="AA41" s="2270" t="s">
        <v>449</v>
      </c>
      <c r="AB41" s="2271"/>
      <c r="AC41" s="2279"/>
      <c r="AD41" s="2261"/>
      <c r="AE41" s="2284"/>
      <c r="AF41" s="1222" t="s">
        <v>446</v>
      </c>
      <c r="AG41" s="1222" t="s">
        <v>447</v>
      </c>
      <c r="AH41" s="1338" t="s">
        <v>448</v>
      </c>
      <c r="AI41" s="2270" t="s">
        <v>449</v>
      </c>
      <c r="AJ41" s="2271"/>
      <c r="AK41" s="2279"/>
      <c r="AL41" s="2282"/>
      <c r="AM41" s="2127"/>
      <c r="AS41" s="1155">
        <v>34</v>
      </c>
    </row>
    <row r="42" s="1641" customFormat="1" ht="11.25" hidden="1" customHeight="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r="43" ht="22" customHeight="1">
      <c r="A43" s="1363" t="s">
        <v>190</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127</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 xml:space="preserve">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 xml:space="preserve">Наименование тарифа</v>
      </c>
      <c r="AQ43" s="500"/>
      <c r="AR43" s="500"/>
      <c r="AS43" s="1155">
        <v>21</v>
      </c>
    </row>
    <row r="44" ht="22" customHeight="1">
      <c r="A44" s="1363" t="s">
        <v>190</v>
      </c>
      <c r="B44" s="1363" t="s">
        <v>191</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400</v>
      </c>
      <c r="AO44" s="500"/>
      <c r="AP44" s="500" t="str">
        <f>IF(T44="","",T44)</f>
        <v xml:space="preserve">Территория действия тарифа</v>
      </c>
      <c r="AQ44" s="500"/>
      <c r="AR44" s="500"/>
      <c r="AS44" s="1155">
        <v>21</v>
      </c>
    </row>
    <row r="45" ht="24" customHeight="1">
      <c r="A45" s="1363" t="s">
        <v>190</v>
      </c>
      <c r="B45" s="1363" t="s">
        <v>191</v>
      </c>
      <c r="C45" s="1363" t="s">
        <v>192</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402</v>
      </c>
      <c r="AO45" s="500"/>
      <c r="AP45" s="500" t="str">
        <f>IF(T45="","",T45)</f>
        <v xml:space="preserve">Наименование системы теплоснабжения</v>
      </c>
      <c r="AQ45" s="500"/>
      <c r="AR45" s="500"/>
      <c r="AS45" s="1155">
        <v>23</v>
      </c>
    </row>
    <row r="46" ht="22" customHeight="1">
      <c r="A46" s="1363" t="s">
        <v>190</v>
      </c>
      <c r="B46" s="1363" t="s">
        <v>191</v>
      </c>
      <c r="C46" s="1363" t="s">
        <v>192</v>
      </c>
      <c r="D46" s="1363" t="s">
        <v>193</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404</v>
      </c>
      <c r="AO46" s="500"/>
      <c r="AP46" s="500" t="str">
        <f>IF(T46="","",T46)</f>
        <v xml:space="preserve">Источник тепловой энергии</v>
      </c>
      <c r="AQ46" s="500"/>
      <c r="AR46" s="500"/>
      <c r="AS46" s="1155">
        <v>21</v>
      </c>
    </row>
    <row r="47" s="1642" customFormat="1" ht="0" customHeight="1">
      <c r="A47" s="1343" t="s">
        <v>190</v>
      </c>
      <c r="B47" s="1343" t="s">
        <v>191</v>
      </c>
      <c r="C47" s="1343" t="s">
        <v>192</v>
      </c>
      <c r="D47" s="1343" t="s">
        <v>193</v>
      </c>
      <c r="E47" s="2259"/>
      <c r="F47" s="2259"/>
      <c r="G47" s="2259"/>
      <c r="H47" s="2259"/>
      <c r="I47" s="2256" t="str">
        <f>S46&amp;".1"</f>
        <v>....1</v>
      </c>
      <c r="J47" s="1343"/>
      <c r="K47" s="1343"/>
      <c r="L47" s="1346" t="s">
        <v>405</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r="48" ht="22" customHeight="1">
      <c r="A48" s="1363" t="s">
        <v>190</v>
      </c>
      <c r="B48" s="1363" t="s">
        <v>191</v>
      </c>
      <c r="C48" s="1363" t="s">
        <v>192</v>
      </c>
      <c r="D48" s="1363" t="s">
        <v>193</v>
      </c>
      <c r="E48" s="2259"/>
      <c r="F48" s="2259"/>
      <c r="G48" s="2259"/>
      <c r="H48" s="2259"/>
      <c r="I48" s="2286"/>
      <c r="J48" s="2256" t="str">
        <f>S46&amp;".1"</f>
        <v>....1</v>
      </c>
      <c r="K48" s="1363"/>
      <c r="L48" s="1364" t="s">
        <v>408</v>
      </c>
      <c r="P48" s="2257"/>
      <c r="Q48" s="2257">
        <v>1</v>
      </c>
      <c r="R48" s="357"/>
      <c r="S48" s="1336" t="str">
        <f>$J48</f>
        <v>....1</v>
      </c>
      <c r="T48" s="286" t="s">
        <v>409</v>
      </c>
      <c r="U48" s="300"/>
      <c r="V48" s="2245"/>
      <c r="W48" s="2246"/>
      <c r="X48" s="2246"/>
      <c r="Y48" s="2246"/>
      <c r="Z48" s="2246"/>
      <c r="AA48" s="2246"/>
      <c r="AB48" s="2246"/>
      <c r="AC48" s="2247"/>
      <c r="AD48" s="2245"/>
      <c r="AE48" s="2246"/>
      <c r="AF48" s="2246"/>
      <c r="AG48" s="2246"/>
      <c r="AH48" s="2246"/>
      <c r="AI48" s="2246"/>
      <c r="AJ48" s="2246"/>
      <c r="AK48" s="2246"/>
      <c r="AL48" s="2247"/>
      <c r="AM48" s="1258" t="s">
        <v>410</v>
      </c>
      <c r="AO48" s="500"/>
      <c r="AP48" s="500" t="str">
        <f>IF(T48="","",T48)</f>
        <v xml:space="preserve">Группа потребителей</v>
      </c>
      <c r="AQ48" s="500"/>
      <c r="AR48" s="500"/>
      <c r="AS48" s="1155">
        <v>21</v>
      </c>
    </row>
    <row r="49" ht="22" customHeight="1">
      <c r="A49" s="1363" t="s">
        <v>190</v>
      </c>
      <c r="B49" s="1363" t="s">
        <v>191</v>
      </c>
      <c r="C49" s="1363" t="s">
        <v>192</v>
      </c>
      <c r="D49" s="1363" t="s">
        <v>193</v>
      </c>
      <c r="E49" s="2259"/>
      <c r="F49" s="2259"/>
      <c r="G49" s="2259"/>
      <c r="H49" s="2259"/>
      <c r="I49" s="2286"/>
      <c r="J49" s="2286"/>
      <c r="K49" s="2256" t="str">
        <f>J48&amp;".1"</f>
        <v>....1.1</v>
      </c>
      <c r="L49" s="1364" t="s">
        <v>411</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453</v>
      </c>
      <c r="AN49" s="511">
        <f>STRCHECKDATE(V50:AL50)</f>
      </c>
      <c r="AO49" s="500"/>
      <c r="AP49" s="500" t="str">
        <f>IF(T49="","",T49)</f>
        <v/>
      </c>
      <c r="AQ49" s="500"/>
      <c r="AR49" s="500"/>
      <c r="AS49" s="1155">
        <v>21</v>
      </c>
    </row>
    <row r="50" ht="0" customHeight="1">
      <c r="A50" s="1363" t="s">
        <v>190</v>
      </c>
      <c r="B50" s="1363" t="s">
        <v>191</v>
      </c>
      <c r="C50" s="1363" t="s">
        <v>192</v>
      </c>
      <c r="D50" s="1363" t="s">
        <v>193</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r="51" ht="11.5" customHeight="1">
      <c r="A51" s="1363" t="s">
        <v>190</v>
      </c>
      <c r="B51" s="1363" t="s">
        <v>191</v>
      </c>
      <c r="C51" s="1363" t="s">
        <v>192</v>
      </c>
      <c r="D51" s="1363" t="s">
        <v>193</v>
      </c>
      <c r="E51" s="2259"/>
      <c r="F51" s="2259"/>
      <c r="G51" s="2259"/>
      <c r="H51" s="2259"/>
      <c r="I51" s="2286"/>
      <c r="J51" s="2256"/>
      <c r="K51" s="1363"/>
      <c r="L51" s="1364"/>
      <c r="P51" s="2257"/>
      <c r="Q51" s="2257"/>
      <c r="R51" s="356"/>
      <c r="S51" s="1278"/>
      <c r="T51" s="287" t="s">
        <v>413</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 xml:space="preserve">Добавить вид теплоносителя (параметры теплоносителя)</v>
      </c>
      <c r="AQ51" s="500"/>
      <c r="AR51" s="500"/>
      <c r="AS51" s="1155">
        <v>11</v>
      </c>
    </row>
    <row r="52" ht="11.5" customHeight="1">
      <c r="A52" s="1363" t="s">
        <v>190</v>
      </c>
      <c r="B52" s="1363" t="s">
        <v>191</v>
      </c>
      <c r="C52" s="1363" t="s">
        <v>192</v>
      </c>
      <c r="D52" s="1363" t="s">
        <v>193</v>
      </c>
      <c r="E52" s="2259"/>
      <c r="F52" s="2259"/>
      <c r="G52" s="2259"/>
      <c r="H52" s="2259"/>
      <c r="I52" s="2256"/>
      <c r="J52" s="1363"/>
      <c r="K52" s="1363"/>
      <c r="L52" s="1364"/>
      <c r="P52" s="2257"/>
      <c r="Q52" s="1331"/>
      <c r="R52" s="356"/>
      <c r="S52" s="1278"/>
      <c r="T52" s="365" t="s">
        <v>414</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 xml:space="preserve">Добавить группу потребителей</v>
      </c>
      <c r="AQ52" s="500"/>
      <c r="AR52" s="500"/>
      <c r="AS52" s="1155">
        <v>11</v>
      </c>
    </row>
    <row r="53" ht="0" customHeight="1">
      <c r="A53" s="1363" t="s">
        <v>190</v>
      </c>
      <c r="B53" s="1363" t="s">
        <v>191</v>
      </c>
      <c r="C53" s="1363" t="s">
        <v>192</v>
      </c>
      <c r="D53" s="1363" t="s">
        <v>193</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r="54" s="1642" customFormat="1" ht="0" customHeight="1">
      <c r="A54" s="1343" t="s">
        <v>190</v>
      </c>
      <c r="B54" s="1343" t="s">
        <v>191</v>
      </c>
      <c r="C54" s="1343" t="s">
        <v>192</v>
      </c>
      <c r="D54" s="1314"/>
      <c r="E54" s="2259"/>
      <c r="F54" s="2259"/>
      <c r="G54" s="2258"/>
      <c r="H54" s="1314"/>
      <c r="I54" s="1314"/>
      <c r="J54" s="1314"/>
      <c r="K54" s="1314"/>
      <c r="L54" s="1339"/>
      <c r="M54" s="1315"/>
      <c r="N54" s="1315"/>
      <c r="P54" s="1316"/>
      <c r="Q54" s="1317"/>
      <c r="R54" s="1316"/>
      <c r="S54" s="1322"/>
      <c r="T54" s="1325" t="s">
        <v>416</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 xml:space="preserve">Добавить источник для дифференциации</v>
      </c>
      <c r="AQ54" s="789"/>
      <c r="AR54" s="789"/>
      <c r="AS54" s="518">
        <v>0</v>
      </c>
    </row>
    <row r="55" s="1642" customFormat="1" ht="0" customHeight="1">
      <c r="A55" s="1343" t="s">
        <v>190</v>
      </c>
      <c r="B55" s="1343" t="s">
        <v>191</v>
      </c>
      <c r="C55" s="1314"/>
      <c r="D55" s="1314"/>
      <c r="E55" s="2259"/>
      <c r="F55" s="2258"/>
      <c r="G55" s="1314"/>
      <c r="H55" s="1314"/>
      <c r="I55" s="1314"/>
      <c r="J55" s="1314"/>
      <c r="K55" s="1314"/>
      <c r="L55" s="1339"/>
      <c r="M55" s="1321"/>
      <c r="N55" s="1321"/>
      <c r="P55" s="1316"/>
      <c r="Q55" s="1317"/>
      <c r="R55" s="1316"/>
      <c r="S55" s="1322"/>
      <c r="T55" s="1325" t="s">
        <v>417</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 xml:space="preserve">Добавить централизованную систему для дифференциации</v>
      </c>
      <c r="AQ55" s="789"/>
      <c r="AR55" s="789"/>
      <c r="AS55" s="518">
        <v>0</v>
      </c>
    </row>
    <row r="56" s="1642" customFormat="1" ht="0" customHeight="1">
      <c r="A56" s="1343" t="s">
        <v>190</v>
      </c>
      <c r="B56" s="1343"/>
      <c r="C56" s="1343"/>
      <c r="D56" s="1343"/>
      <c r="E56" s="2258"/>
      <c r="F56" s="1343"/>
      <c r="G56" s="1343"/>
      <c r="H56" s="1343"/>
      <c r="I56" s="1343"/>
      <c r="J56" s="1343"/>
      <c r="K56" s="1343"/>
      <c r="L56" s="1346"/>
      <c r="M56" s="1321"/>
      <c r="N56" s="1321"/>
      <c r="O56" s="518"/>
      <c r="P56" s="380"/>
      <c r="Q56" s="1344"/>
      <c r="R56" s="380"/>
      <c r="S56" s="1322"/>
      <c r="T56" s="1325" t="s">
        <v>418</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 xml:space="preserve">Добавить территорию для дифференциации</v>
      </c>
      <c r="AQ56" s="500"/>
      <c r="AR56" s="500"/>
      <c r="AS56" s="511">
        <v>0</v>
      </c>
    </row>
    <row r="57" s="1642" customFormat="1" ht="4.2000000000000002" customHeight="1">
      <c r="A57" s="1314"/>
      <c r="B57" s="1314"/>
      <c r="C57" s="1314"/>
      <c r="D57" s="1314"/>
      <c r="E57" s="1343"/>
      <c r="F57" s="1314"/>
      <c r="G57" s="1314"/>
      <c r="H57" s="1314"/>
      <c r="I57" s="1314"/>
      <c r="J57" s="1314"/>
      <c r="K57" s="1314"/>
      <c r="L57" s="1339"/>
      <c r="M57" s="1321"/>
      <c r="N57" s="1321"/>
      <c r="P57" s="1316"/>
      <c r="Q57" s="1317"/>
      <c r="R57" s="1316"/>
      <c r="S57" s="1322"/>
      <c r="T57" s="1325" t="s">
        <v>450</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 xml:space="preserve">Добавить наименование тарифа</v>
      </c>
      <c r="AQ57" s="789"/>
      <c r="AR57" s="789"/>
      <c r="AS57" s="518">
        <v>4</v>
      </c>
    </row>
    <row r="58" ht="11.5" customHeight="1">
      <c r="M58" s="1160"/>
      <c r="N58" s="1160"/>
      <c r="O58" s="537"/>
      <c r="P58" s="1155"/>
      <c r="Q58" s="1155"/>
      <c r="R58" s="1155"/>
      <c r="S58" s="1155"/>
      <c r="AN58" s="1155"/>
      <c r="AO58" s="1155"/>
      <c r="AP58" s="1155"/>
      <c r="AQ58" s="1155"/>
      <c r="AR58" s="1155"/>
      <c r="AS58" s="1155">
        <v>11</v>
      </c>
    </row>
    <row r="59" ht="14.65" customHeight="1">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r="60" ht="14.65" customHeight="1">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r="61" ht="14.65" customHeight="1">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r="62" ht="14.65" customHeight="1">
      <c r="O62" s="537"/>
      <c r="AS62" s="1155">
        <v>14</v>
      </c>
    </row>
    <row r="63" ht="14.65" customHeight="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r="64" ht="14.65" customHeight="1">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r="65" ht="14.65" customHeight="1">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r="66" ht="22.5" hidden="1" customHeight="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autoFilter="0" deleteColumns="0" deleteRows="0" formatColumns="0" formatRows="0" insertColumns="1" insertRows="0" sort="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4">
    <dataValidation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allowBlank="1" prompt="Для выбора выполните двойной щелчок левой клавиши мыши по соответствующей ячейке." showErrorMessage="1" showInputMessage="1"/>
    <dataValidation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allowBlank="1" promptTitle="checkPeriodRange"/>
    <dataValidation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llowBlank="1" prompt="Выберите дату из календаря (иконка справа от указанной ячейки), либо введите дату непосредственно в ячейку в формате - 'ДД.ММ.ГГГГ'." showErrorMessage="1" showInputMessage="1"/>
    <dataValidation sqref="S131123:AM131129 S196659:AM196665 S262195:AM262201 S327731:AM327737 S393267:AM393273 S458803:AM458809 S524339:AM524345 S589875:AM589881 S655411:AM655417 S720947:AM720953 S786483:AM786489 S852019:AM852025 S917555:AM917561 S983091:AM983097 S65587:AM65593" allowBlank="1"/>
  </dataValidations>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x14:dataValidation xr:uid="{0088001C-0097-403E-9E81-00CE00AF008E}" type="list" allowBlank="1" error="Выберите значение из списка" errorTitle="Ошибка" showErrorMessage="1" showInputMessage="1">
          <x14:formula1>
            <xm:f>kind_of_heat_transfer</xm:f>
          </x14:formula1>
          <xm:sqref>T65585 T131121 T196657 T262193 T327729 T393265 T458801 T524337 T589873 T655409 T720945 T786481 T852017 T917553 T983089</xm:sqref>
        </x14:dataValidation>
        <x14:dataValidation xr:uid="{008B0049-0007-4995-8DD1-00A7000E0034}" type="textLength" allowBlank="1" error="Допускается ввод не более 900 символов!" errorTitle="Ошибка" operator="lessThanOrEqual" showErrorMessage="1" showInputMessage="1">
          <x14:formula1>
            <xm:f>900</xm:f>
          </x14:formula1>
          <xm:sqref>AM65579:AM65586 AM131115:AM131122 AM196651:AM196658 AM262187:AM262194 AM327723:AM327730 AM393259:AM393266 AM458795:AM458802 AM524331:AM524338 AM589867:AM589874 AM655403:AM655410 AM720939:AM720946 AM786475:AM786482 AM852011:AM852018 AM917547:AM917554 AM983083:AM983090</xm:sqref>
        </x14:dataValidation>
        <x14:dataValidation xr:uid="{00FD007D-007A-4FD1-9CE4-0034001C0074}" type="list" allowBlank="1" error="Выберите значение из списка" errorTitle="Ошибка" prompt="Выберите значение из списка" showInputMessage="1">
          <x14:formula1>
            <xm:f>kind_of_cons</xm:f>
          </x14:formula1>
          <xm:sqref>V983088:AL983088 V65584:AL65584 V131120:AL131120 V196656:AL196656 V262192:AL262192 V327728:AL327728 V393264:AL393264 V458800:AL458800 V524336:AL524336 V589872:AL589872 V655408:AL655408 V720944:AL720944 V786480:AL786480 V852016:AL852016 V917552:AL917552</xm:sqref>
        </x14:dataValidation>
        <x14:dataValidation xr:uid="{00520051-0066-41C3-9149-0083002A002F}" type="list" allowBlank="1" error="Выберите значение из списка" errorTitle="Ошибка" showErrorMessage="1" showInputMessage="1">
          <x14:formula1>
            <xm:f>kind_of_scheme_in</xm:f>
          </x14:formula1>
          <xm: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xm:sqref>
        </x14:dataValidation>
      </x14:dataValidations>
    </ext>
  </extLs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sheetPr>
  <sheetViews>
    <sheetView showGridLines="0" topLeftCell="A1" zoomScale="90" workbookViewId="0">
      <selection activeCell="A1" sqref="A1"/>
    </sheetView>
  </sheetViews>
  <sheetFormatPr defaultColWidth="10.57421875" defaultRowHeight="14.25" customHeight="1"/>
  <cols>
    <col hidden="1" min="1" max="1" style="1635" width="10.57421875"/>
    <col customWidth="1" hidden="1" min="2" max="2" style="1635" width="11.00390625"/>
    <col hidden="1" min="3" max="3" style="1635" width="10.57421875"/>
    <col customWidth="1" hidden="1" min="4" max="4" style="1635" width="11.8515625"/>
    <col customWidth="1" hidden="1" min="5" max="5" style="1635" width="10.00390625"/>
    <col customWidth="1" hidden="1" min="6" max="6" style="1635" width="8.7109375"/>
    <col customWidth="1" hidden="1" min="7" max="7" style="1635" width="7.57421875"/>
    <col customWidth="1" hidden="1" min="8" max="8" style="1635" width="11.421875"/>
    <col customWidth="1" hidden="1" min="9" max="9" style="1635" width="12.00390625"/>
    <col customWidth="1" hidden="1" min="10" max="10" style="1635" width="9.8515625"/>
    <col customWidth="1" hidden="1" min="11" max="12" style="1635" width="11.421875"/>
    <col customWidth="1" hidden="1" min="13" max="13" style="2125" width="19.140625"/>
    <col customWidth="1" hidden="1" min="14" max="15" style="2397" width="12.28125"/>
    <col customWidth="1" hidden="1" min="16" max="16" style="2397" width="23.421875"/>
    <col customWidth="1" hidden="1" min="17" max="17" style="2397" width="3.7109375"/>
    <col customWidth="1" min="18" max="20" style="344" width="3.00390625"/>
    <col customWidth="1" min="21" max="21" style="2407" width="12.00390625"/>
    <col customWidth="1" min="22" max="22" style="1635" width="31.00390625"/>
    <col customWidth="1" min="23" max="23" style="1635" width="0.140625"/>
    <col customWidth="1" hidden="1" min="24" max="28" style="1635" width="21.7109375"/>
    <col customWidth="1" hidden="1" min="29" max="29" style="1635" width="11.7109375"/>
    <col customWidth="1" hidden="1" min="30" max="30" style="1635" width="3.7109375"/>
    <col customWidth="1" hidden="1" min="31" max="31" style="1635" width="11.7109375"/>
    <col customWidth="1" hidden="1" min="32" max="32" style="1635" width="8.57421875"/>
    <col customWidth="1" min="33" max="33" style="1635" width="21.7109375"/>
    <col customWidth="1" min="34" max="37" style="1635" width="21.00390625"/>
    <col customWidth="1" min="38" max="38" style="1635" width="11.00390625"/>
    <col customWidth="1" min="39" max="39" style="1635" width="3.7109375"/>
    <col customWidth="1" min="40" max="40" style="1635" width="11.00390625"/>
    <col customWidth="1" hidden="1" min="41" max="41" style="1635" width="8.57421875"/>
    <col customWidth="1" min="42" max="42" style="1635" width="4.00390625"/>
    <col customWidth="1" min="43" max="43" style="1635" width="115.00390625"/>
    <col customWidth="1" min="44" max="48" style="1642" width="10.00390625"/>
    <col hidden="1" min="49" max="49" style="1635" width="10.57421875"/>
  </cols>
  <sheetData>
    <row r="1" ht="22.5" hidden="1" customHeight="1">
      <c r="AB1" s="327"/>
      <c r="AC1" s="327"/>
      <c r="AK1" s="327"/>
      <c r="AL1" s="327"/>
      <c r="AW1" s="1155" t="s">
        <v>14</v>
      </c>
    </row>
    <row r="2" ht="21" hidden="1" customHeight="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127</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398</v>
      </c>
      <c r="AS2" s="500"/>
      <c r="AT2" s="500" t="str">
        <f>IF(V2="","",V2)</f>
        <v xml:space="preserve">Наименование тарифа</v>
      </c>
      <c r="AU2" s="500"/>
      <c r="AV2" s="500"/>
      <c r="AW2" s="1155">
        <v>0</v>
      </c>
    </row>
    <row r="3" ht="21" hidden="1" customHeight="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399</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400</v>
      </c>
      <c r="AS3" s="500"/>
      <c r="AT3" s="500" t="str">
        <f>IF(V3="","",V3)</f>
        <v xml:space="preserve">Территория действия тарифа</v>
      </c>
      <c r="AU3" s="500"/>
      <c r="AV3" s="500"/>
      <c r="AW3" s="1155">
        <v>0</v>
      </c>
    </row>
    <row r="4" ht="22.5" hidden="1" customHeight="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401</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402</v>
      </c>
      <c r="AS4" s="500"/>
      <c r="AT4" s="500" t="str">
        <f>IF(V4="","",V4)</f>
        <v xml:space="preserve">Наименование системы теплоснабжения</v>
      </c>
      <c r="AU4" s="500"/>
      <c r="AV4" s="500"/>
      <c r="AW4" s="1155">
        <v>0</v>
      </c>
    </row>
    <row r="5" ht="21" hidden="1" customHeight="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403</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404</v>
      </c>
      <c r="AS5" s="500"/>
      <c r="AT5" s="500" t="str">
        <f>IF(V5="","",V5)</f>
        <v xml:space="preserve">Источник тепловой энергии</v>
      </c>
      <c r="AU5" s="500"/>
      <c r="AV5" s="500"/>
      <c r="AW5" s="1155">
        <v>0</v>
      </c>
    </row>
    <row r="6" ht="14.25" hidden="1" customHeight="1">
      <c r="A6" s="1267"/>
      <c r="B6" s="1267"/>
      <c r="C6" s="1267"/>
      <c r="D6" s="1267"/>
      <c r="E6" s="2290"/>
      <c r="F6" s="2290"/>
      <c r="G6" s="2290"/>
      <c r="H6" s="2290"/>
      <c r="I6" s="2127">
        <f>U5&amp;".1"</f>
      </c>
      <c r="J6" s="1267"/>
      <c r="K6" s="1267"/>
      <c r="L6" s="1267"/>
      <c r="M6" s="1310" t="s">
        <v>405</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r="7" ht="21" hidden="1" customHeight="1">
      <c r="A7" s="1267"/>
      <c r="B7" s="1267"/>
      <c r="C7" s="1267"/>
      <c r="D7" s="1267"/>
      <c r="E7" s="2290"/>
      <c r="F7" s="2290"/>
      <c r="G7" s="2290"/>
      <c r="H7" s="2290"/>
      <c r="I7" s="2101"/>
      <c r="J7" s="2127">
        <f>I6&amp;".1"</f>
      </c>
      <c r="K7" s="1267"/>
      <c r="L7" s="1267"/>
      <c r="M7" s="1310" t="s">
        <v>408</v>
      </c>
      <c r="N7" s="509"/>
      <c r="O7" s="327"/>
      <c r="Q7" s="2257"/>
      <c r="R7" s="2257">
        <v>1</v>
      </c>
      <c r="S7" s="518"/>
      <c r="T7" s="357"/>
      <c r="U7" s="1336">
        <f>$J7</f>
      </c>
      <c r="V7" s="286" t="s">
        <v>409</v>
      </c>
      <c r="W7" s="300"/>
      <c r="X7" s="2245"/>
      <c r="Y7" s="2246"/>
      <c r="Z7" s="2246"/>
      <c r="AA7" s="2246"/>
      <c r="AB7" s="2246"/>
      <c r="AC7" s="2235"/>
      <c r="AD7" s="2235"/>
      <c r="AE7" s="2235"/>
      <c r="AF7" s="2308"/>
      <c r="AG7" s="2245"/>
      <c r="AH7" s="2246"/>
      <c r="AI7" s="2246"/>
      <c r="AJ7" s="2246"/>
      <c r="AK7" s="2246"/>
      <c r="AL7" s="2246"/>
      <c r="AM7" s="2246"/>
      <c r="AN7" s="2246"/>
      <c r="AO7" s="2246"/>
      <c r="AP7" s="2247"/>
      <c r="AQ7" s="1258" t="s">
        <v>410</v>
      </c>
      <c r="AS7" s="500"/>
      <c r="AT7" s="500" t="str">
        <f>IF(V7="","",V7)</f>
        <v xml:space="preserve">Группа потребителей</v>
      </c>
      <c r="AU7" s="500"/>
      <c r="AV7" s="500"/>
      <c r="AW7" s="1155">
        <v>0</v>
      </c>
    </row>
    <row r="8" ht="21" hidden="1" customHeight="1">
      <c r="A8" s="1267"/>
      <c r="B8" s="1267"/>
      <c r="C8" s="1267"/>
      <c r="D8" s="1267"/>
      <c r="E8" s="2290"/>
      <c r="F8" s="2290"/>
      <c r="G8" s="2290"/>
      <c r="H8" s="2290"/>
      <c r="I8" s="2101"/>
      <c r="J8" s="2101"/>
      <c r="K8" s="2127">
        <f>J7&amp;".1"</f>
      </c>
      <c r="L8" s="139"/>
      <c r="M8" s="1310" t="s">
        <v>411</v>
      </c>
      <c r="N8" s="509"/>
      <c r="O8" s="327"/>
      <c r="P8" s="327"/>
      <c r="Q8" s="2257"/>
      <c r="R8" s="2257"/>
      <c r="S8" s="2257">
        <v>1</v>
      </c>
      <c r="T8" s="357"/>
      <c r="U8" s="1336">
        <f>$K8</f>
      </c>
      <c r="V8" s="1347"/>
      <c r="W8" s="300"/>
      <c r="X8" s="751"/>
      <c r="Y8" s="751"/>
      <c r="Z8" s="751"/>
      <c r="AA8" s="751"/>
      <c r="AB8" s="1405"/>
      <c r="AC8" s="2265"/>
      <c r="AD8" s="2107" t="s">
        <v>65</v>
      </c>
      <c r="AE8" s="2265"/>
      <c r="AF8" s="2107" t="s">
        <v>65</v>
      </c>
      <c r="AG8" s="1407"/>
      <c r="AH8" s="751"/>
      <c r="AI8" s="751"/>
      <c r="AJ8" s="751"/>
      <c r="AK8" s="1257"/>
      <c r="AL8" s="2265"/>
      <c r="AM8" s="2107" t="s">
        <v>65</v>
      </c>
      <c r="AN8" s="2265"/>
      <c r="AO8" s="2107" t="s">
        <v>65</v>
      </c>
      <c r="AP8" s="325"/>
      <c r="AQ8" s="1307" t="s">
        <v>454</v>
      </c>
      <c r="AR8" s="511">
        <f>STRCHECKDATE(X10:AP10)</f>
      </c>
      <c r="AS8" s="500"/>
      <c r="AT8" s="500" t="str">
        <f>IF(V8="","",V8)</f>
        <v/>
      </c>
      <c r="AU8" s="500"/>
      <c r="AV8" s="500"/>
      <c r="AW8" s="1155">
        <v>0</v>
      </c>
    </row>
    <row r="9" ht="21" hidden="1" customHeight="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455</v>
      </c>
      <c r="AS9" s="500"/>
      <c r="AT9" s="500"/>
      <c r="AU9" s="500"/>
      <c r="AV9" s="500"/>
      <c r="AW9" s="1155">
        <v>0</v>
      </c>
    </row>
    <row r="10" ht="14.25" hidden="1" customHeight="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r="11" ht="11.25" hidden="1" customHeight="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456</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r="12" ht="15" hidden="1" customHeight="1">
      <c r="A12" s="1267"/>
      <c r="B12" s="1267"/>
      <c r="C12" s="1267"/>
      <c r="D12" s="1267"/>
      <c r="E12" s="2290"/>
      <c r="F12" s="2290"/>
      <c r="G12" s="2290"/>
      <c r="H12" s="2290"/>
      <c r="I12" s="2101"/>
      <c r="J12" s="2127"/>
      <c r="K12" s="1267"/>
      <c r="L12" s="1267"/>
      <c r="M12" s="1310"/>
      <c r="N12" s="509"/>
      <c r="O12" s="327"/>
      <c r="Q12" s="2257"/>
      <c r="R12" s="2257"/>
      <c r="S12" s="1331"/>
      <c r="T12" s="356"/>
      <c r="U12" s="1278"/>
      <c r="V12" s="287" t="s">
        <v>413</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 xml:space="preserve">Добавить вид теплоносителя (параметры теплоносителя)</v>
      </c>
      <c r="AU12" s="500"/>
      <c r="AV12" s="500"/>
      <c r="AW12" s="1155">
        <v>0</v>
      </c>
    </row>
    <row r="13" ht="11.25" hidden="1" customHeight="1">
      <c r="A13" s="1267"/>
      <c r="B13" s="1267"/>
      <c r="C13" s="1267"/>
      <c r="D13" s="1267"/>
      <c r="E13" s="2290"/>
      <c r="F13" s="2290"/>
      <c r="G13" s="2290"/>
      <c r="H13" s="2290"/>
      <c r="I13" s="2127"/>
      <c r="J13" s="1267"/>
      <c r="K13" s="1267"/>
      <c r="L13" s="1267"/>
      <c r="M13" s="1310"/>
      <c r="N13" s="509"/>
      <c r="Q13" s="2257"/>
      <c r="R13" s="1331"/>
      <c r="S13" s="1331"/>
      <c r="T13" s="356"/>
      <c r="U13" s="1278"/>
      <c r="V13" s="365" t="s">
        <v>414</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 xml:space="preserve">Добавить группу потребителей</v>
      </c>
      <c r="AU13" s="500"/>
      <c r="AV13" s="500"/>
      <c r="AW13" s="1155">
        <v>0</v>
      </c>
    </row>
    <row r="14" ht="14.25" hidden="1" customHeight="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r="15" s="1642" customFormat="1" ht="14.25" hidden="1" customHeight="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416</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 xml:space="preserve">Добавить источник для дифференциации</v>
      </c>
      <c r="AU15" s="789"/>
      <c r="AV15" s="789"/>
      <c r="AW15" s="518">
        <v>0</v>
      </c>
    </row>
    <row r="16" s="1642" customFormat="1" ht="14.25" hidden="1" customHeight="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417</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 xml:space="preserve">Добавить централизованную систему для дифференциации</v>
      </c>
      <c r="AU16" s="789"/>
      <c r="AV16" s="789"/>
      <c r="AW16" s="518">
        <v>0</v>
      </c>
    </row>
    <row r="17" s="1642" customFormat="1" ht="14.25" hidden="1" customHeight="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418</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 xml:space="preserve">Добавить территорию для дифференциации</v>
      </c>
      <c r="AU17" s="789"/>
      <c r="AV17" s="789"/>
      <c r="AW17" s="518">
        <v>0</v>
      </c>
    </row>
    <row r="18" ht="14.25" hidden="1" customHeight="1">
      <c r="AF18" s="327"/>
      <c r="AO18" s="327"/>
      <c r="AW18" s="1155">
        <v>0</v>
      </c>
    </row>
    <row r="19" ht="14.25" hidden="1" customHeight="1">
      <c r="AG19" s="1360"/>
      <c r="AH19" s="1360"/>
      <c r="AI19" s="1360"/>
      <c r="AJ19" s="1360"/>
      <c r="AK19" s="1361"/>
      <c r="AL19" s="2267"/>
      <c r="AM19" s="2268" t="s">
        <v>65</v>
      </c>
      <c r="AN19" s="2267"/>
      <c r="AO19" s="2268" t="s">
        <v>65</v>
      </c>
      <c r="AW19" s="1155">
        <v>0</v>
      </c>
    </row>
    <row r="20" ht="14.25" hidden="1" customHeight="1">
      <c r="AG20" s="1360"/>
      <c r="AH20" s="1360"/>
      <c r="AI20" s="1360"/>
      <c r="AJ20" s="1360"/>
      <c r="AK20" s="1361"/>
      <c r="AL20" s="2267"/>
      <c r="AM20" s="2268"/>
      <c r="AN20" s="2267"/>
      <c r="AO20" s="2268"/>
      <c r="AW20" s="1155">
        <v>0</v>
      </c>
    </row>
    <row r="21" ht="14.25" hidden="1" customHeight="1">
      <c r="AG21" s="1360"/>
      <c r="AH21" s="1360"/>
      <c r="AI21" s="1360"/>
      <c r="AJ21" s="1360"/>
      <c r="AK21" s="1361"/>
      <c r="AL21" s="2267"/>
      <c r="AM21" s="2268"/>
      <c r="AN21" s="2267"/>
      <c r="AO21" s="2268"/>
      <c r="AW21" s="1155">
        <v>0</v>
      </c>
    </row>
    <row r="22" ht="14.25" hidden="1" customHeight="1">
      <c r="AG22" s="1360"/>
      <c r="AH22" s="1360"/>
      <c r="AI22" s="1360"/>
      <c r="AJ22" s="1360"/>
      <c r="AK22" s="328" t="str">
        <f>AL19&amp;"-"&amp;AN19</f>
        <v>-</v>
      </c>
      <c r="AL22" s="2268"/>
      <c r="AM22" s="2268"/>
      <c r="AN22" s="2268"/>
      <c r="AO22" s="2268"/>
      <c r="AW22" s="1155">
        <v>0</v>
      </c>
    </row>
    <row r="23" ht="14.25" hidden="1" customHeight="1">
      <c r="AO23" s="327"/>
      <c r="AW23" s="1155">
        <v>0</v>
      </c>
    </row>
    <row r="24" s="1366" customFormat="1" ht="22.5" hidden="1" customHeight="1">
      <c r="A24" s="1155"/>
      <c r="B24" s="1155"/>
      <c r="C24" s="1155"/>
      <c r="D24" s="1155"/>
      <c r="E24" s="1155"/>
      <c r="F24" s="1155"/>
      <c r="G24" s="1155"/>
      <c r="H24" s="1155"/>
      <c r="I24" s="1155"/>
      <c r="J24" s="1155"/>
      <c r="K24" s="1155"/>
      <c r="L24" s="1155"/>
      <c r="M24" s="1327"/>
      <c r="N24" s="1328"/>
      <c r="O24" s="1328"/>
      <c r="P24" s="1345" t="s">
        <v>419</v>
      </c>
      <c r="Q24" s="1362"/>
      <c r="R24" s="1371"/>
      <c r="S24" s="1371"/>
      <c r="T24" s="1371"/>
      <c r="U24" s="729"/>
      <c r="AC24" s="1367"/>
      <c r="AE24" s="1367"/>
      <c r="AF24" s="1366"/>
      <c r="AL24" s="1367"/>
      <c r="AN24" s="1367"/>
      <c r="AO24" s="1366"/>
      <c r="AR24" s="511"/>
      <c r="AS24" s="511"/>
      <c r="AT24" s="511"/>
      <c r="AU24" s="511"/>
      <c r="AV24" s="511"/>
      <c r="AW24" s="1160">
        <v>0</v>
      </c>
    </row>
    <row r="25" s="1366" customFormat="1" ht="14.25" hidden="1" customHeight="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r="26" s="1366" customFormat="1" ht="14.25" hidden="1" customHeight="1">
      <c r="A26" s="1155"/>
      <c r="B26" s="1155"/>
      <c r="C26" s="1155"/>
      <c r="D26" s="1155"/>
      <c r="E26" s="1155"/>
      <c r="F26" s="1155"/>
      <c r="G26" s="1155"/>
      <c r="H26" s="1155"/>
      <c r="I26" s="1155"/>
      <c r="J26" s="1155"/>
      <c r="K26" s="1155"/>
      <c r="L26" s="1155"/>
      <c r="M26" s="1327"/>
      <c r="N26" s="1328"/>
      <c r="O26" s="1328"/>
      <c r="P26" s="1310" t="s">
        <v>420</v>
      </c>
      <c r="Q26" s="1362"/>
      <c r="R26" s="1371"/>
      <c r="S26" s="1371"/>
      <c r="T26" s="1371"/>
      <c r="U26" s="729"/>
      <c r="V26" s="1160" t="s">
        <v>421</v>
      </c>
      <c r="AD26" s="186" t="s">
        <v>422</v>
      </c>
      <c r="AF26" s="186" t="s">
        <v>423</v>
      </c>
      <c r="AG26" s="1160" t="s">
        <v>421</v>
      </c>
      <c r="AM26" s="186" t="s">
        <v>424</v>
      </c>
      <c r="AO26" s="186" t="s">
        <v>423</v>
      </c>
      <c r="AR26" s="511"/>
      <c r="AS26" s="511"/>
      <c r="AT26" s="511"/>
      <c r="AU26" s="511"/>
      <c r="AV26" s="511"/>
      <c r="AW26" s="1160">
        <v>0</v>
      </c>
    </row>
    <row r="27" ht="14.25" hidden="1" customHeight="1">
      <c r="P27" s="1310"/>
      <c r="AW27" s="1155">
        <v>0</v>
      </c>
    </row>
    <row r="28" ht="14.25" hidden="1" customHeight="1">
      <c r="P28" s="1310"/>
      <c r="AW28" s="1155">
        <v>0</v>
      </c>
    </row>
    <row r="29" ht="14.65" customHeight="1">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r="30" ht="56.700000000000003" customHeight="1">
      <c r="R30" s="376"/>
      <c r="S30" s="376"/>
      <c r="T30" s="376"/>
      <c r="U30" s="2248" t="str">
        <f>IF(TEMPLATE_GROUP="P",PT_P_FORM_HEAT_6_NAME_FORM,PT_R_FORM_HEAT_23_NAME_FORM)</f>
        <v xml:space="preserve">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r="31" ht="14.65" customHeight="1">
      <c r="R31" s="376"/>
      <c r="S31" s="376"/>
      <c r="T31" s="376"/>
      <c r="U31" s="2249" t="str">
        <f>IF(org=0,"Не определено",org)</f>
        <v xml:space="preserve">филиал ПАО "ОГК-2" - Рязанская ГРЭС</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r="32" ht="14.25" hidden="1" customHeight="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r="33" s="1853" customFormat="1" ht="25.5" hidden="1" customHeight="1">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r="34" s="1853" customFormat="1" ht="18.75" hidden="1" customHeight="1">
      <c r="A34" s="1248"/>
      <c r="B34" s="1248"/>
      <c r="C34" s="1248"/>
      <c r="D34" s="1248"/>
      <c r="E34" s="1248"/>
      <c r="F34" s="1248"/>
      <c r="G34" s="1248"/>
      <c r="H34" s="1248"/>
      <c r="I34" s="1248"/>
      <c r="J34" s="1248"/>
      <c r="K34" s="1248"/>
      <c r="L34" s="1248"/>
      <c r="M34" s="1380"/>
      <c r="N34" s="1248"/>
      <c r="O34" s="1248"/>
      <c r="P34" s="1248"/>
      <c r="U34" s="2250" t="s">
        <v>425</v>
      </c>
      <c r="V34" s="2250"/>
      <c r="W34" s="1372"/>
      <c r="X34" s="2264" t="str">
        <f>IF(TITLE_DATE_PR_CHANGE="",IF(TITLE_DATE_PR="","",TITLE_DATE_PR),TITLE_DATE_PR_CHANGE)</f>
        <v/>
      </c>
      <c r="Y34" s="2264"/>
      <c r="Z34" s="2264"/>
      <c r="AA34" s="2264"/>
      <c r="AB34" s="2264"/>
      <c r="AC34" s="2264"/>
      <c r="AD34" s="2264"/>
      <c r="AE34" s="2264"/>
      <c r="AF34" s="326"/>
      <c r="AG34" s="2264" t="str">
        <f>IF(TITLE_DATE_PR_CHANGE="",IF(TITLE_DATE_PR="","",TITLE_DATE_PR),TITLE_DATE_PR_CHANGE)</f>
        <v/>
      </c>
      <c r="AH34" s="2264"/>
      <c r="AI34" s="2264"/>
      <c r="AJ34" s="2264"/>
      <c r="AK34" s="2264"/>
      <c r="AL34" s="2264"/>
      <c r="AM34" s="2264"/>
      <c r="AN34" s="2264"/>
      <c r="AO34" s="326"/>
      <c r="AP34" s="326"/>
      <c r="AQ34" s="280"/>
      <c r="AR34" s="368"/>
      <c r="AS34" s="368"/>
      <c r="AT34" s="368"/>
      <c r="AU34" s="368"/>
      <c r="AV34" s="368"/>
      <c r="AW34" s="418">
        <v>0</v>
      </c>
    </row>
    <row r="35" s="1853" customFormat="1" ht="18.75" hidden="1" customHeight="1">
      <c r="A35" s="1248"/>
      <c r="B35" s="1248"/>
      <c r="C35" s="1248"/>
      <c r="D35" s="1248"/>
      <c r="E35" s="1248"/>
      <c r="F35" s="1248"/>
      <c r="G35" s="1248"/>
      <c r="H35" s="1248"/>
      <c r="I35" s="1248"/>
      <c r="J35" s="1248"/>
      <c r="K35" s="1248"/>
      <c r="L35" s="1248"/>
      <c r="M35" s="1380"/>
      <c r="N35" s="1248"/>
      <c r="O35" s="1248"/>
      <c r="P35" s="1248"/>
      <c r="U35" s="2250" t="s">
        <v>426</v>
      </c>
      <c r="V35" s="2250"/>
      <c r="W35" s="1372"/>
      <c r="X35" s="2251" t="str">
        <f>IF(TITLE_NUMBER_PR_CHANGE="",IF(TITLE_NUMBER_PR="","",TITLE_NUMBER_PR),TITLE_NUMBER_PR_CHANGE)</f>
        <v/>
      </c>
      <c r="Y35" s="2251"/>
      <c r="Z35" s="2251"/>
      <c r="AA35" s="2251"/>
      <c r="AB35" s="2251"/>
      <c r="AC35" s="2251"/>
      <c r="AD35" s="2251"/>
      <c r="AE35" s="2251"/>
      <c r="AF35" s="326"/>
      <c r="AG35" s="2251" t="str">
        <f>IF(TITLE_NUMBER_PR_CHANGE="",IF(TITLE_NUMBER_PR="","",TITLE_NUMBER_PR),TITLE_NUMBER_PR_CHANGE)</f>
        <v/>
      </c>
      <c r="AH35" s="2251"/>
      <c r="AI35" s="2251"/>
      <c r="AJ35" s="2251"/>
      <c r="AK35" s="2251"/>
      <c r="AL35" s="2251"/>
      <c r="AM35" s="2251"/>
      <c r="AN35" s="2251"/>
      <c r="AO35" s="326"/>
      <c r="AP35" s="326"/>
      <c r="AQ35" s="280"/>
      <c r="AR35" s="368"/>
      <c r="AS35" s="368"/>
      <c r="AT35" s="368"/>
      <c r="AU35" s="368"/>
      <c r="AV35" s="368"/>
      <c r="AW35" s="418">
        <v>0</v>
      </c>
    </row>
    <row r="36" s="1853" customFormat="1" ht="18.75" hidden="1" customHeight="1">
      <c r="A36" s="1248"/>
      <c r="B36" s="1248"/>
      <c r="C36" s="1248"/>
      <c r="D36" s="1248"/>
      <c r="E36" s="1248"/>
      <c r="F36" s="1248"/>
      <c r="G36" s="1248"/>
      <c r="H36" s="1248"/>
      <c r="I36" s="1248"/>
      <c r="J36" s="1248"/>
      <c r="K36" s="1248"/>
      <c r="L36" s="1248"/>
      <c r="M36" s="1380"/>
      <c r="N36" s="1248"/>
      <c r="O36" s="1248"/>
      <c r="P36" s="1248"/>
      <c r="U36" s="2250" t="s">
        <v>43</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r="37" ht="14.25" hidden="1" customHeight="1">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r="38" s="1853" customFormat="1" ht="18.75" hidden="1" customHeight="1">
      <c r="A38" s="1248"/>
      <c r="B38" s="1248"/>
      <c r="C38" s="1248"/>
      <c r="D38" s="1248"/>
      <c r="E38" s="1248"/>
      <c r="F38" s="1248"/>
      <c r="G38" s="1248"/>
      <c r="H38" s="1248"/>
      <c r="I38" s="1248"/>
      <c r="J38" s="1248"/>
      <c r="K38" s="1248"/>
      <c r="L38" s="1248"/>
      <c r="M38" s="1380"/>
      <c r="N38" s="1248"/>
      <c r="O38" s="1248"/>
      <c r="P38" s="1248"/>
      <c r="U38" s="2250" t="s">
        <v>427</v>
      </c>
      <c r="V38" s="2250"/>
      <c r="W38" s="1372"/>
      <c r="X38" s="2264" t="str">
        <f>IF(TITLE_DATE_PR_CHANGE="",IF(TITLE_DATE_PR="","",TITLE_DATE_PR),TITLE_DATE_PR_CHANGE)</f>
        <v/>
      </c>
      <c r="Y38" s="2264"/>
      <c r="Z38" s="2264"/>
      <c r="AA38" s="2264"/>
      <c r="AB38" s="2264"/>
      <c r="AC38" s="2264"/>
      <c r="AD38" s="2264"/>
      <c r="AE38" s="2264"/>
      <c r="AF38" s="326"/>
      <c r="AG38" s="2264" t="str">
        <f>IF(TITLE_DATE_PR_CHANGE="",IF(TITLE_DATE_PR="","",TITLE_DATE_PR),TITLE_DATE_PR_CHANGE)</f>
        <v/>
      </c>
      <c r="AH38" s="2264"/>
      <c r="AI38" s="2264"/>
      <c r="AJ38" s="2264"/>
      <c r="AK38" s="2264"/>
      <c r="AL38" s="2264"/>
      <c r="AM38" s="2264"/>
      <c r="AN38" s="2264"/>
      <c r="AO38" s="326"/>
      <c r="AP38" s="326"/>
      <c r="AQ38" s="280"/>
      <c r="AR38" s="368"/>
      <c r="AS38" s="368"/>
      <c r="AT38" s="368"/>
      <c r="AU38" s="368"/>
      <c r="AV38" s="368"/>
      <c r="AW38" s="418">
        <v>0</v>
      </c>
    </row>
    <row r="39" s="1853" customFormat="1" ht="18.75" hidden="1" customHeight="1">
      <c r="A39" s="1248"/>
      <c r="B39" s="1248"/>
      <c r="C39" s="1248"/>
      <c r="D39" s="1248"/>
      <c r="E39" s="1248"/>
      <c r="F39" s="1248"/>
      <c r="G39" s="1248"/>
      <c r="H39" s="1248"/>
      <c r="I39" s="1248"/>
      <c r="J39" s="1248"/>
      <c r="K39" s="1248"/>
      <c r="L39" s="1248"/>
      <c r="M39" s="1380"/>
      <c r="N39" s="1248"/>
      <c r="O39" s="1248"/>
      <c r="P39" s="1248"/>
      <c r="U39" s="2250" t="s">
        <v>428</v>
      </c>
      <c r="V39" s="2250"/>
      <c r="W39" s="1372"/>
      <c r="X39" s="2251" t="str">
        <f>IF(TITLE_NUMBER_PR_CHANGE="",IF(TITLE_NUMBER_PR="","",TITLE_NUMBER_PR),TITLE_NUMBER_PR_CHANGE)</f>
        <v/>
      </c>
      <c r="Y39" s="2251"/>
      <c r="Z39" s="2251"/>
      <c r="AA39" s="2251"/>
      <c r="AB39" s="2251"/>
      <c r="AC39" s="2251"/>
      <c r="AD39" s="2251"/>
      <c r="AE39" s="2251"/>
      <c r="AF39" s="326"/>
      <c r="AG39" s="2251" t="str">
        <f>IF(TITLE_NUMBER_PR_CHANGE="",IF(TITLE_NUMBER_PR="","",TITLE_NUMBER_PR),TITLE_NUMBER_PR_CHANGE)</f>
        <v/>
      </c>
      <c r="AH39" s="2251"/>
      <c r="AI39" s="2251"/>
      <c r="AJ39" s="2251"/>
      <c r="AK39" s="2251"/>
      <c r="AL39" s="2251"/>
      <c r="AM39" s="2251"/>
      <c r="AN39" s="2251"/>
      <c r="AO39" s="326"/>
      <c r="AP39" s="326"/>
      <c r="AQ39" s="280"/>
      <c r="AR39" s="368"/>
      <c r="AS39" s="368"/>
      <c r="AT39" s="368"/>
      <c r="AU39" s="368"/>
      <c r="AV39" s="368"/>
      <c r="AW39" s="418">
        <v>0</v>
      </c>
    </row>
    <row r="40" s="1853" customFormat="1" ht="0" customHeight="1">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429</v>
      </c>
      <c r="AG40" s="326"/>
      <c r="AH40" s="326"/>
      <c r="AI40" s="326"/>
      <c r="AJ40" s="326"/>
      <c r="AK40" s="326"/>
      <c r="AL40" s="326"/>
      <c r="AM40" s="326"/>
      <c r="AN40" s="326"/>
      <c r="AO40" s="278" t="s">
        <v>429</v>
      </c>
      <c r="AR40" s="368"/>
      <c r="AS40" s="368"/>
      <c r="AT40" s="368"/>
      <c r="AU40" s="368"/>
      <c r="AV40" s="368"/>
      <c r="AW40" s="418">
        <v>0</v>
      </c>
    </row>
    <row r="41" ht="14.65" customHeight="1">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r="42" ht="14.65" customHeight="1">
      <c r="R42" s="376"/>
      <c r="S42" s="376"/>
      <c r="T42" s="376"/>
      <c r="U42" s="2127" t="s">
        <v>302</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303</v>
      </c>
      <c r="AW42" s="1155">
        <v>14</v>
      </c>
    </row>
    <row r="43" ht="14.65" customHeight="1">
      <c r="R43" s="376"/>
      <c r="S43" s="376"/>
      <c r="T43" s="376"/>
      <c r="U43" s="2273" t="s">
        <v>87</v>
      </c>
      <c r="V43" s="2209" t="s">
        <v>430</v>
      </c>
      <c r="W43" s="301"/>
      <c r="X43" s="2274" t="s">
        <v>431</v>
      </c>
      <c r="Y43" s="2291"/>
      <c r="Z43" s="2291"/>
      <c r="AA43" s="2291"/>
      <c r="AB43" s="2291"/>
      <c r="AC43" s="2275"/>
      <c r="AD43" s="2275"/>
      <c r="AE43" s="2276"/>
      <c r="AF43" s="2277" t="s">
        <v>432</v>
      </c>
      <c r="AG43" s="2274" t="s">
        <v>431</v>
      </c>
      <c r="AH43" s="2291"/>
      <c r="AI43" s="2291"/>
      <c r="AJ43" s="2291"/>
      <c r="AK43" s="2291"/>
      <c r="AL43" s="2275"/>
      <c r="AM43" s="2275"/>
      <c r="AN43" s="2276"/>
      <c r="AO43" s="2277" t="s">
        <v>433</v>
      </c>
      <c r="AP43" s="2280" t="s">
        <v>434</v>
      </c>
      <c r="AQ43" s="2127"/>
      <c r="AW43" s="1155">
        <v>14</v>
      </c>
    </row>
    <row r="44" ht="35.649999999999999" customHeight="1">
      <c r="R44" s="376"/>
      <c r="S44" s="376"/>
      <c r="T44" s="376"/>
      <c r="U44" s="2273"/>
      <c r="V44" s="2209"/>
      <c r="W44" s="1031"/>
      <c r="X44" s="2294" t="s">
        <v>457</v>
      </c>
      <c r="Y44" s="2312" t="s">
        <v>458</v>
      </c>
      <c r="Z44" s="2312"/>
      <c r="AA44" s="2312"/>
      <c r="AB44" s="2312"/>
      <c r="AC44" s="2294" t="s">
        <v>438</v>
      </c>
      <c r="AD44" s="2611"/>
      <c r="AE44" s="2314"/>
      <c r="AF44" s="2278"/>
      <c r="AG44" s="2294" t="s">
        <v>457</v>
      </c>
      <c r="AH44" s="2312" t="s">
        <v>458</v>
      </c>
      <c r="AI44" s="2312"/>
      <c r="AJ44" s="2312"/>
      <c r="AK44" s="2312"/>
      <c r="AL44" s="2294" t="s">
        <v>438</v>
      </c>
      <c r="AM44" s="2611"/>
      <c r="AN44" s="2314"/>
      <c r="AO44" s="2278"/>
      <c r="AP44" s="2281"/>
      <c r="AQ44" s="2127"/>
      <c r="AW44" s="1155">
        <v>34</v>
      </c>
    </row>
    <row r="45" ht="14.65" customHeight="1">
      <c r="R45" s="376"/>
      <c r="S45" s="376"/>
      <c r="T45" s="376"/>
      <c r="U45" s="2273"/>
      <c r="V45" s="2209"/>
      <c r="W45" s="1031"/>
      <c r="X45" s="2325"/>
      <c r="Y45" s="2317" t="s">
        <v>459</v>
      </c>
      <c r="Z45" s="2270" t="s">
        <v>460</v>
      </c>
      <c r="AA45" s="2320"/>
      <c r="AB45" s="2271"/>
      <c r="AC45" s="2295"/>
      <c r="AD45" s="2612"/>
      <c r="AE45" s="2316"/>
      <c r="AF45" s="2278"/>
      <c r="AG45" s="2325"/>
      <c r="AH45" s="2317" t="s">
        <v>459</v>
      </c>
      <c r="AI45" s="2270" t="s">
        <v>460</v>
      </c>
      <c r="AJ45" s="2320"/>
      <c r="AK45" s="2271"/>
      <c r="AL45" s="2295"/>
      <c r="AM45" s="2612"/>
      <c r="AN45" s="2316"/>
      <c r="AO45" s="2278"/>
      <c r="AP45" s="2281"/>
      <c r="AQ45" s="2127"/>
      <c r="AW45" s="1155">
        <v>14</v>
      </c>
    </row>
    <row r="46" ht="27.300000000000001" customHeight="1">
      <c r="R46" s="376"/>
      <c r="S46" s="376"/>
      <c r="T46" s="376"/>
      <c r="U46" s="2273"/>
      <c r="V46" s="2209"/>
      <c r="W46" s="1031"/>
      <c r="X46" s="2325"/>
      <c r="Y46" s="2318"/>
      <c r="Z46" s="2317" t="s">
        <v>461</v>
      </c>
      <c r="AA46" s="2270" t="s">
        <v>462</v>
      </c>
      <c r="AB46" s="2271"/>
      <c r="AC46" s="2317" t="s">
        <v>448</v>
      </c>
      <c r="AD46" s="2321" t="s">
        <v>449</v>
      </c>
      <c r="AE46" s="2322"/>
      <c r="AF46" s="2278"/>
      <c r="AG46" s="2325"/>
      <c r="AH46" s="2318"/>
      <c r="AI46" s="2317" t="s">
        <v>461</v>
      </c>
      <c r="AJ46" s="2270" t="s">
        <v>462</v>
      </c>
      <c r="AK46" s="2271"/>
      <c r="AL46" s="2317" t="s">
        <v>448</v>
      </c>
      <c r="AM46" s="2321" t="s">
        <v>449</v>
      </c>
      <c r="AN46" s="2322"/>
      <c r="AO46" s="2278"/>
      <c r="AP46" s="2281"/>
      <c r="AQ46" s="2127"/>
      <c r="AW46" s="1155">
        <v>26</v>
      </c>
    </row>
    <row r="47" ht="65.25" customHeight="1">
      <c r="A47" s="1259"/>
      <c r="B47" s="1259" t="s">
        <v>139</v>
      </c>
      <c r="C47" s="1259" t="s">
        <v>140</v>
      </c>
      <c r="D47" s="1259" t="s">
        <v>141</v>
      </c>
      <c r="E47" s="1310" t="s">
        <v>439</v>
      </c>
      <c r="F47" s="1310" t="s">
        <v>440</v>
      </c>
      <c r="G47" s="1310" t="s">
        <v>441</v>
      </c>
      <c r="H47" s="1310" t="s">
        <v>442</v>
      </c>
      <c r="I47" s="1310" t="s">
        <v>443</v>
      </c>
      <c r="J47" s="1310" t="s">
        <v>444</v>
      </c>
      <c r="K47" s="1310" t="s">
        <v>445</v>
      </c>
      <c r="L47" s="1310" t="s">
        <v>463</v>
      </c>
      <c r="M47" s="1310" t="s">
        <v>420</v>
      </c>
      <c r="R47" s="376"/>
      <c r="S47" s="376"/>
      <c r="T47" s="376"/>
      <c r="U47" s="2273"/>
      <c r="V47" s="2209"/>
      <c r="W47" s="302"/>
      <c r="X47" s="2295"/>
      <c r="Y47" s="2319"/>
      <c r="Z47" s="2319"/>
      <c r="AA47" s="1222" t="s">
        <v>464</v>
      </c>
      <c r="AB47" s="1222" t="s">
        <v>465</v>
      </c>
      <c r="AC47" s="2319"/>
      <c r="AD47" s="2323"/>
      <c r="AE47" s="2324"/>
      <c r="AF47" s="2279"/>
      <c r="AG47" s="2295"/>
      <c r="AH47" s="2319"/>
      <c r="AI47" s="2319"/>
      <c r="AJ47" s="1222" t="s">
        <v>464</v>
      </c>
      <c r="AK47" s="1222" t="s">
        <v>465</v>
      </c>
      <c r="AL47" s="2319"/>
      <c r="AM47" s="2323"/>
      <c r="AN47" s="2324"/>
      <c r="AO47" s="2279"/>
      <c r="AP47" s="2282"/>
      <c r="AQ47" s="2127"/>
      <c r="AW47" s="1155">
        <v>62</v>
      </c>
    </row>
    <row r="48" s="1641" customFormat="1" ht="11.25" hidden="1" customHeight="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109</v>
      </c>
      <c r="V48" s="1255" t="s">
        <v>110</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r="49" ht="22" customHeight="1">
      <c r="A49" s="1267" t="s">
        <v>178</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127</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 xml:space="preserve">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 xml:space="preserve">Наименование тарифа</v>
      </c>
      <c r="AU49" s="500"/>
      <c r="AV49" s="500"/>
      <c r="AW49" s="1155">
        <v>21</v>
      </c>
    </row>
    <row r="50" ht="22" customHeight="1">
      <c r="A50" s="1267" t="s">
        <v>178</v>
      </c>
      <c r="B50" s="1267" t="s">
        <v>179</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399</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400</v>
      </c>
      <c r="AS50" s="500"/>
      <c r="AT50" s="500" t="str">
        <f>IF(V50="","",V50)</f>
        <v xml:space="preserve">Территория действия тарифа</v>
      </c>
      <c r="AU50" s="500"/>
      <c r="AV50" s="500"/>
      <c r="AW50" s="1155">
        <v>21</v>
      </c>
    </row>
    <row r="51" ht="24" customHeight="1">
      <c r="A51" s="1267" t="s">
        <v>178</v>
      </c>
      <c r="B51" s="1267" t="s">
        <v>179</v>
      </c>
      <c r="C51" s="1267" t="s">
        <v>180</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401</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402</v>
      </c>
      <c r="AS51" s="500"/>
      <c r="AT51" s="500" t="str">
        <f>IF(V51="","",V51)</f>
        <v xml:space="preserve">Наименование системы теплоснабжения</v>
      </c>
      <c r="AU51" s="500"/>
      <c r="AV51" s="500"/>
      <c r="AW51" s="1155">
        <v>23</v>
      </c>
    </row>
    <row r="52" ht="22" customHeight="1">
      <c r="A52" s="1267" t="s">
        <v>178</v>
      </c>
      <c r="B52" s="1267" t="s">
        <v>179</v>
      </c>
      <c r="C52" s="1267" t="s">
        <v>180</v>
      </c>
      <c r="D52" s="1267" t="s">
        <v>181</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403</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404</v>
      </c>
      <c r="AS52" s="500"/>
      <c r="AT52" s="500" t="str">
        <f>IF(V52="","",V52)</f>
        <v xml:space="preserve">Источник тепловой энергии</v>
      </c>
      <c r="AU52" s="500"/>
      <c r="AV52" s="500"/>
      <c r="AW52" s="1155">
        <v>21</v>
      </c>
    </row>
    <row r="53" s="1642" customFormat="1" ht="0" customHeight="1">
      <c r="A53" s="1375" t="s">
        <v>178</v>
      </c>
      <c r="B53" s="1375" t="s">
        <v>179</v>
      </c>
      <c r="C53" s="1375" t="s">
        <v>180</v>
      </c>
      <c r="D53" s="1375" t="s">
        <v>181</v>
      </c>
      <c r="E53" s="2290"/>
      <c r="F53" s="2290"/>
      <c r="G53" s="2290"/>
      <c r="H53" s="2311"/>
      <c r="I53" s="2127" t="str">
        <f>U52&amp;".1"</f>
        <v>....1</v>
      </c>
      <c r="J53" s="1375"/>
      <c r="K53" s="1375"/>
      <c r="L53" s="1375"/>
      <c r="M53" s="1381" t="s">
        <v>405</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r="54" ht="22" customHeight="1">
      <c r="A54" s="1267" t="s">
        <v>178</v>
      </c>
      <c r="B54" s="1267" t="s">
        <v>179</v>
      </c>
      <c r="C54" s="1267" t="s">
        <v>180</v>
      </c>
      <c r="D54" s="1267" t="s">
        <v>181</v>
      </c>
      <c r="E54" s="2290"/>
      <c r="F54" s="2290"/>
      <c r="G54" s="2290"/>
      <c r="H54" s="2311"/>
      <c r="I54" s="2101"/>
      <c r="J54" s="2127" t="str">
        <f>I53&amp;".1"</f>
        <v>....1.1</v>
      </c>
      <c r="K54" s="1267"/>
      <c r="L54" s="1267"/>
      <c r="M54" s="1310" t="s">
        <v>408</v>
      </c>
      <c r="Q54" s="2257"/>
      <c r="R54" s="2257">
        <v>1</v>
      </c>
      <c r="S54" s="518"/>
      <c r="T54" s="357"/>
      <c r="U54" s="1336" t="str">
        <f>$J54</f>
        <v>....1.1</v>
      </c>
      <c r="V54" s="286" t="s">
        <v>409</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410</v>
      </c>
      <c r="AS54" s="500"/>
      <c r="AT54" s="500" t="str">
        <f>IF(V54="","",V54)</f>
        <v xml:space="preserve">Группа потребителей</v>
      </c>
      <c r="AU54" s="500"/>
      <c r="AV54" s="500"/>
      <c r="AW54" s="1155">
        <v>21</v>
      </c>
    </row>
    <row r="55" ht="22" customHeight="1">
      <c r="A55" s="1267" t="s">
        <v>178</v>
      </c>
      <c r="B55" s="1267" t="s">
        <v>179</v>
      </c>
      <c r="C55" s="1267" t="s">
        <v>180</v>
      </c>
      <c r="D55" s="1267" t="s">
        <v>181</v>
      </c>
      <c r="E55" s="2290"/>
      <c r="F55" s="2290"/>
      <c r="G55" s="2290"/>
      <c r="H55" s="2311"/>
      <c r="I55" s="2101"/>
      <c r="J55" s="2101"/>
      <c r="K55" s="2127" t="str">
        <f>J54&amp;".1"</f>
        <v>....1.1.1</v>
      </c>
      <c r="L55" s="139"/>
      <c r="M55" s="1310" t="s">
        <v>411</v>
      </c>
      <c r="Q55" s="2257"/>
      <c r="R55" s="2257"/>
      <c r="S55" s="518">
        <v>1</v>
      </c>
      <c r="T55" s="357"/>
      <c r="U55" s="1336" t="str">
        <f>$K55</f>
        <v>....1.1.1</v>
      </c>
      <c r="V55" s="1347"/>
      <c r="W55" s="300"/>
      <c r="X55" s="751"/>
      <c r="Y55" s="751"/>
      <c r="Z55" s="751"/>
      <c r="AA55" s="751"/>
      <c r="AB55" s="1405"/>
      <c r="AC55" s="2265"/>
      <c r="AD55" s="2107" t="s">
        <v>65</v>
      </c>
      <c r="AE55" s="2265"/>
      <c r="AF55" s="2107" t="s">
        <v>65</v>
      </c>
      <c r="AG55" s="1407"/>
      <c r="AH55" s="751"/>
      <c r="AI55" s="751"/>
      <c r="AJ55" s="751"/>
      <c r="AK55" s="1257"/>
      <c r="AL55" s="2265"/>
      <c r="AM55" s="2107" t="s">
        <v>65</v>
      </c>
      <c r="AN55" s="2265"/>
      <c r="AO55" s="2107" t="s">
        <v>65</v>
      </c>
      <c r="AP55" s="1348"/>
      <c r="AQ55" s="1307" t="s">
        <v>454</v>
      </c>
      <c r="AR55" s="511">
        <f>STRCHECKDATE(X57:AP57)</f>
      </c>
      <c r="AS55" s="500"/>
      <c r="AT55" s="500" t="str">
        <f>IF(V55="","",V55)</f>
        <v/>
      </c>
      <c r="AU55" s="500"/>
      <c r="AV55" s="500"/>
      <c r="AW55" s="1155">
        <v>21</v>
      </c>
    </row>
    <row r="56" ht="11.5" customHeight="1">
      <c r="A56" s="1267" t="s">
        <v>178</v>
      </c>
      <c r="B56" s="1267" t="s">
        <v>179</v>
      </c>
      <c r="C56" s="1267" t="s">
        <v>180</v>
      </c>
      <c r="D56" s="1267" t="s">
        <v>181</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455</v>
      </c>
      <c r="AR56" s="511">
        <f>STRCHECKDATE(X58:AP58)</f>
      </c>
      <c r="AS56" s="500"/>
      <c r="AT56" s="500" t="str">
        <f>IF(V56="","",V56)</f>
        <v/>
      </c>
      <c r="AU56" s="500"/>
      <c r="AV56" s="500"/>
      <c r="AW56" s="1155">
        <v>11</v>
      </c>
    </row>
    <row r="57" ht="0" customHeight="1">
      <c r="A57" s="1267" t="s">
        <v>178</v>
      </c>
      <c r="B57" s="1267" t="s">
        <v>179</v>
      </c>
      <c r="C57" s="1267" t="s">
        <v>180</v>
      </c>
      <c r="D57" s="1267" t="s">
        <v>181</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r="58" ht="11.5" customHeight="1">
      <c r="A58" s="1267" t="s">
        <v>178</v>
      </c>
      <c r="B58" s="1267" t="s">
        <v>179</v>
      </c>
      <c r="C58" s="1267" t="s">
        <v>180</v>
      </c>
      <c r="D58" s="1267" t="s">
        <v>181</v>
      </c>
      <c r="E58" s="2290"/>
      <c r="F58" s="2290"/>
      <c r="G58" s="2290"/>
      <c r="H58" s="2311"/>
      <c r="I58" s="2101"/>
      <c r="J58" s="2101"/>
      <c r="K58" s="2127"/>
      <c r="L58" s="1267"/>
      <c r="M58" s="1310"/>
      <c r="Q58" s="2257"/>
      <c r="R58" s="2257"/>
      <c r="S58" s="1331"/>
      <c r="T58" s="356"/>
      <c r="U58" s="1278"/>
      <c r="V58" s="288" t="s">
        <v>456</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 xml:space="preserve">Добавить наименование поставщика</v>
      </c>
      <c r="AU58" s="500"/>
      <c r="AV58" s="500"/>
      <c r="AW58" s="1155">
        <v>11</v>
      </c>
    </row>
    <row r="59" ht="11.5" customHeight="1">
      <c r="A59" s="1267" t="s">
        <v>178</v>
      </c>
      <c r="B59" s="1267" t="s">
        <v>179</v>
      </c>
      <c r="C59" s="1267" t="s">
        <v>180</v>
      </c>
      <c r="D59" s="1267" t="s">
        <v>181</v>
      </c>
      <c r="E59" s="2290"/>
      <c r="F59" s="2290"/>
      <c r="G59" s="2290"/>
      <c r="H59" s="2311"/>
      <c r="I59" s="2101"/>
      <c r="J59" s="2127"/>
      <c r="K59" s="1267"/>
      <c r="L59" s="1267"/>
      <c r="M59" s="1310"/>
      <c r="Q59" s="2257"/>
      <c r="R59" s="2257"/>
      <c r="S59" s="1331"/>
      <c r="T59" s="356"/>
      <c r="U59" s="1278"/>
      <c r="V59" s="287" t="s">
        <v>413</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 xml:space="preserve">Добавить вид теплоносителя (параметры теплоносителя)</v>
      </c>
      <c r="AU59" s="500"/>
      <c r="AV59" s="500"/>
      <c r="AW59" s="1155">
        <v>11</v>
      </c>
    </row>
    <row r="60" ht="11.5" customHeight="1">
      <c r="A60" s="1267" t="s">
        <v>178</v>
      </c>
      <c r="B60" s="1267" t="s">
        <v>179</v>
      </c>
      <c r="C60" s="1267" t="s">
        <v>180</v>
      </c>
      <c r="D60" s="1267" t="s">
        <v>181</v>
      </c>
      <c r="E60" s="2290"/>
      <c r="F60" s="2290"/>
      <c r="G60" s="2290"/>
      <c r="H60" s="2311"/>
      <c r="I60" s="2127"/>
      <c r="J60" s="1267"/>
      <c r="K60" s="1267"/>
      <c r="L60" s="1267"/>
      <c r="M60" s="1310"/>
      <c r="Q60" s="2257"/>
      <c r="R60" s="1331"/>
      <c r="S60" s="1331"/>
      <c r="T60" s="356"/>
      <c r="U60" s="1278"/>
      <c r="V60" s="365" t="s">
        <v>414</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 xml:space="preserve">Добавить группу потребителей</v>
      </c>
      <c r="AU60" s="500"/>
      <c r="AV60" s="500"/>
      <c r="AW60" s="1155">
        <v>11</v>
      </c>
    </row>
    <row r="61" ht="0" customHeight="1">
      <c r="A61" s="1267" t="s">
        <v>178</v>
      </c>
      <c r="B61" s="1267" t="s">
        <v>179</v>
      </c>
      <c r="C61" s="1267" t="s">
        <v>180</v>
      </c>
      <c r="D61" s="1267" t="s">
        <v>181</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r="62" s="1642" customFormat="1" ht="0" customHeight="1">
      <c r="A62" s="1375" t="s">
        <v>178</v>
      </c>
      <c r="B62" s="1375" t="s">
        <v>179</v>
      </c>
      <c r="C62" s="1375" t="s">
        <v>180</v>
      </c>
      <c r="D62" s="1374"/>
      <c r="E62" s="2290"/>
      <c r="F62" s="2290"/>
      <c r="G62" s="2289"/>
      <c r="H62" s="1374"/>
      <c r="I62" s="1374"/>
      <c r="J62" s="1374"/>
      <c r="K62" s="1374"/>
      <c r="L62" s="1374"/>
      <c r="M62" s="1377"/>
      <c r="N62" s="1378"/>
      <c r="O62" s="1378"/>
      <c r="P62" s="351"/>
      <c r="Q62" s="1316"/>
      <c r="R62" s="1317"/>
      <c r="S62" s="1316"/>
      <c r="T62" s="1316"/>
      <c r="U62" s="1322"/>
      <c r="V62" s="1325" t="s">
        <v>416</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 xml:space="preserve">Добавить источник для дифференциации</v>
      </c>
      <c r="AU62" s="789"/>
      <c r="AV62" s="789"/>
      <c r="AW62" s="518">
        <v>0</v>
      </c>
    </row>
    <row r="63" s="1642" customFormat="1" ht="0" customHeight="1">
      <c r="A63" s="1375" t="s">
        <v>178</v>
      </c>
      <c r="B63" s="1375" t="s">
        <v>179</v>
      </c>
      <c r="C63" s="1374"/>
      <c r="D63" s="1374"/>
      <c r="E63" s="2290"/>
      <c r="F63" s="2289"/>
      <c r="G63" s="1374"/>
      <c r="H63" s="1374"/>
      <c r="I63" s="1374"/>
      <c r="J63" s="1374"/>
      <c r="K63" s="1374"/>
      <c r="L63" s="1374"/>
      <c r="M63" s="1377"/>
      <c r="N63" s="1379"/>
      <c r="O63" s="1379"/>
      <c r="P63" s="351"/>
      <c r="Q63" s="1316"/>
      <c r="R63" s="1317"/>
      <c r="S63" s="1316"/>
      <c r="T63" s="1316"/>
      <c r="U63" s="1322"/>
      <c r="V63" s="1325" t="s">
        <v>417</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 xml:space="preserve">Добавить централизованную систему для дифференциации</v>
      </c>
      <c r="AU63" s="789"/>
      <c r="AV63" s="789"/>
      <c r="AW63" s="518">
        <v>0</v>
      </c>
    </row>
    <row r="64" s="1642" customFormat="1" ht="0" customHeight="1">
      <c r="A64" s="1375" t="s">
        <v>178</v>
      </c>
      <c r="B64" s="1375"/>
      <c r="C64" s="1375"/>
      <c r="D64" s="1375"/>
      <c r="E64" s="2289"/>
      <c r="F64" s="1375"/>
      <c r="G64" s="1375"/>
      <c r="H64" s="1375"/>
      <c r="I64" s="1375"/>
      <c r="J64" s="1375"/>
      <c r="K64" s="1375"/>
      <c r="L64" s="1375"/>
      <c r="M64" s="1381"/>
      <c r="N64" s="1379"/>
      <c r="O64" s="1379"/>
      <c r="P64" s="351"/>
      <c r="Q64" s="380"/>
      <c r="R64" s="1344"/>
      <c r="S64" s="380"/>
      <c r="T64" s="380"/>
      <c r="U64" s="1322"/>
      <c r="V64" s="1325" t="s">
        <v>418</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 xml:space="preserve">Добавить территорию для дифференциации</v>
      </c>
      <c r="AU64" s="500"/>
      <c r="AV64" s="500"/>
      <c r="AW64" s="511">
        <v>0</v>
      </c>
    </row>
    <row r="65" s="1642" customFormat="1" ht="4.2000000000000002" customHeight="1">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450</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 xml:space="preserve">Добавить наименование тарифа</v>
      </c>
      <c r="AU65" s="789"/>
      <c r="AV65" s="789"/>
      <c r="AW65" s="518">
        <v>4</v>
      </c>
    </row>
    <row r="66" ht="11.5" customHeight="1">
      <c r="N66" s="1155"/>
      <c r="O66" s="1155"/>
      <c r="P66" s="509"/>
      <c r="Q66" s="1155"/>
      <c r="R66" s="1155"/>
      <c r="S66" s="1155"/>
      <c r="T66" s="1155"/>
      <c r="U66" s="1155"/>
      <c r="AR66" s="1155"/>
      <c r="AS66" s="1155"/>
      <c r="AT66" s="1155"/>
      <c r="AU66" s="1155"/>
      <c r="AV66" s="1155"/>
      <c r="AW66" s="1155">
        <v>11</v>
      </c>
    </row>
    <row r="67" ht="35.649999999999999" customHeight="1">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r="68" ht="21" customHeight="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r="69" ht="14.65" customHeight="1">
      <c r="P69" s="509"/>
      <c r="AW69" s="1155">
        <v>14</v>
      </c>
    </row>
    <row r="70" ht="28.5" customHeight="1">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r="71" ht="18.75" customHeight="1">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r="72" ht="22.5" hidden="1" customHeight="1">
      <c r="A72" s="1155" t="s">
        <v>81</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autoFilter="0" deleteColumns="0" deleteRows="0" formatColumns="0" formatRows="0" insertColumns="1" insertRows="0" sort="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4">
    <dataValidation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allowBlank="1" prompt="Для выбора выполните двойной щелчок левой клавиши мыши по соответствующей ячейке." showErrorMessage="1" showInputMessage="1"/>
    <dataValidation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allowBlank="1" promptTitle="checkPeriodRange"/>
    <dataValidation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allowBlank="1" prompt="Выберите дату из календаря (иконка справа от указанной ячейки), либо введите дату непосредственно в ячейку в формате - 'ДД.ММ.ГГГГ'." showErrorMessage="1" showInputMessage="1"/>
    <dataValidation sqref="U131130:AQ131136 U196666:AQ196672 U262202:AQ262208 U327738:AQ327744 U393274:AQ393280 U458810:AQ458816 U524346:AQ524352 U589882:AQ589888 U655418:AQ655424 U720954:AQ720960 U786490:AQ786496 U852026:AQ852032 U917562:AQ917568 U983098:AQ983104 U65594:AQ65600" allowBlank="1"/>
  </dataValidations>
  <pageMargins left="0.69999999999999996" right="0.69999999999999996" top="0.75" bottom="0.75" header="0.29999999999999999" footer="0.29999999999999999"/>
  <pageSetup paperSize="9"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x14:dataValidation xr:uid="{00EA00DB-00F0-4CB6-B48A-00D4001F0015}" type="textLength" allowBlank="1" error="Допускается ввод не более 900 символов!" errorTitle="Ошибка" operator="lessThanOrEqual" showErrorMessage="1" showInputMessage="1">
          <x14:formula1>
            <xm:f>900</xm:f>
          </x14:formula1>
          <xm:sqref>AQ65586:AQ65593 AQ131122:AQ131129 AQ196658:AQ196665 AQ262194:AQ262201 AQ327730:AQ327737 AQ393266:AQ393273 AQ458802:AQ458809 AQ524338:AQ524345 AQ589874:AQ589881 AQ655410:AQ655417 AQ720946:AQ720953 AQ786482:AQ786489 AQ852018:AQ852025 AQ917554:AQ917561 AQ983090:AQ983097</xm:sqref>
        </x14:dataValidation>
        <x14:dataValidation xr:uid="{00FE001F-006A-428A-873E-0021008200FE}" type="list" allowBlank="1" error="Выберите значение из списка" errorTitle="Ошибка" prompt="Выберите значение из списка" showInputMessage="1">
          <x14:formula1>
            <xm:f>kind_of_cons</xm:f>
          </x14:formula1>
          <xm:sqref>X983095:AP983095 X65591:AP65591 X131127:AP131127 X196663:AP196663 X262199:AP262199 X327735:AP327735 X393271:AP393271 X458807:AP458807 X524343:AP524343 X589879:AP589879 X655415:AP655415 X720951:AP720951 X786487:AP786487 X852023:AP852023 X917559:AP917559</xm:sqref>
        </x14:dataValidation>
        <x14:dataValidation xr:uid="{00FC0055-00F0-49CD-80B2-007200530086}" type="list" allowBlank="1" error="Выберите значение из списка" errorTitle="Ошибка" showErrorMessage="1" showInputMessage="1">
          <x14:formula1>
            <xm:f>kind_of_scheme_in</xm:f>
          </x14:formula1>
          <xm: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xm:sqref>
        </x14:dataValidation>
        <x14:dataValidation xr:uid="{00540030-002E-4D3F-AE31-00DD00D8001A}" type="list" allowBlank="1" error="Выберите значение из списка" errorTitle="Ошибка" showErrorMessage="1" showInputMessage="1">
          <x14:formula1>
            <xm:f>kind_of_heat_transfer</xm:f>
          </x14:formula1>
          <xm:sqref>V65592 V131128 V196664 V262200 V327736 V393272 V458808 V524344 V589880 V655416 V720952 V786488 V852024 V917560 V983096</xm:sqref>
        </x14:dataValidation>
      </x14:dataValidations>
    </ext>
  </extLs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sheetPr>
  <sheetViews>
    <sheetView showGridLines="0" topLeftCell="A1" zoomScale="90" workbookViewId="0">
      <selection activeCell="A1" sqref="A1"/>
    </sheetView>
  </sheetViews>
  <sheetFormatPr defaultColWidth="10.57421875" defaultRowHeight="14.25" customHeight="1"/>
  <cols>
    <col hidden="1" min="1" max="1" style="1366" width="10.57421875"/>
    <col customWidth="1" hidden="1" min="2" max="2" style="1366" width="11.00390625"/>
    <col hidden="1" min="3" max="3" style="1366" width="10.57421875"/>
    <col customWidth="1" hidden="1" min="4" max="4" style="1366" width="11.8515625"/>
    <col customWidth="1" hidden="1" min="5" max="5" style="1366" width="10.00390625"/>
    <col customWidth="1" hidden="1" min="6" max="6" style="1366" width="8.7109375"/>
    <col customWidth="1" hidden="1" min="7" max="7" style="1366" width="7.57421875"/>
    <col customWidth="1" hidden="1" min="8" max="8" style="1366" width="11.421875"/>
    <col customWidth="1" hidden="1" min="9" max="9" style="1366" width="12.00390625"/>
    <col customWidth="1" hidden="1" min="10" max="10" style="1366" width="9.8515625"/>
    <col customWidth="1" hidden="1" min="11" max="11" style="1366" width="11.421875"/>
    <col customWidth="1" hidden="1" min="12" max="12" style="2607" width="19.140625"/>
    <col customWidth="1" hidden="1" min="13" max="14" style="1776" width="12.28125"/>
    <col customWidth="1" hidden="1" min="15" max="15" style="1776" width="23.421875"/>
    <col customWidth="1" min="16" max="16" style="1776" width="3.00390625"/>
    <col customWidth="1" min="17" max="17" style="1371" width="3.00390625"/>
    <col customWidth="1" min="18" max="18" style="344" width="3.00390625"/>
    <col customWidth="1" min="19" max="19" style="2407" width="12.00390625"/>
    <col customWidth="1" min="20" max="20" style="1635" width="31.00390625"/>
    <col customWidth="1" min="21" max="21" style="1635" width="0.140625"/>
    <col customWidth="1" hidden="1" min="22" max="23" style="1635" width="21.7109375"/>
    <col customWidth="1" hidden="1" min="24" max="24" style="1635" width="11.7109375"/>
    <col customWidth="1" hidden="1" min="25" max="25" style="1635" width="3.7109375"/>
    <col customWidth="1" hidden="1" min="26" max="26" style="1635" width="11.7109375"/>
    <col customWidth="1" hidden="1" min="27" max="27" style="1635" width="8.57421875"/>
    <col customWidth="1" min="28" max="28" style="1635" width="5.421875"/>
    <col customWidth="1" min="29" max="30" style="1635" width="3.00390625"/>
    <col customWidth="1" min="31" max="31" style="1635" width="24.00390625"/>
    <col customWidth="1" min="32" max="32" style="1635" width="3.7109375"/>
    <col customWidth="1" min="33" max="34" style="1635" width="3.00390625"/>
    <col customWidth="1" min="35" max="35" style="1635" width="24.00390625"/>
    <col customWidth="1" min="36" max="36" style="1635" width="3.7109375"/>
    <col customWidth="1" min="37" max="38" style="1635" width="3.00390625"/>
    <col customWidth="1" min="39" max="39" style="1635" width="18.00390625"/>
    <col customWidth="1" min="40" max="41" style="1635" width="21.00390625"/>
    <col customWidth="1" min="42" max="42" style="1635" width="11.00390625"/>
    <col customWidth="1" min="43" max="43" style="1635" width="3.7109375"/>
    <col customWidth="1" min="44" max="44" style="1635" width="11.00390625"/>
    <col customWidth="1" hidden="1" min="45" max="45" style="1635" width="8.57421875"/>
    <col customWidth="1" min="46" max="46" style="1635" width="4.00390625"/>
    <col customWidth="1" min="47" max="47" style="1635" width="115.00390625"/>
    <col customWidth="1" min="48" max="52" style="1642" width="10.00390625"/>
    <col hidden="1" min="53" max="53" style="1635" width="10.57421875"/>
  </cols>
  <sheetData>
    <row r="1" ht="22.5" hidden="1" customHeight="1">
      <c r="W1" s="327"/>
      <c r="X1" s="327"/>
      <c r="AO1" s="327"/>
      <c r="AP1" s="327"/>
      <c r="BA1" s="1155" t="s">
        <v>14</v>
      </c>
    </row>
    <row r="2" ht="21" hidden="1" customHeight="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127</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398</v>
      </c>
      <c r="AW2" s="500"/>
      <c r="AX2" s="500" t="str">
        <f>IF(T2="","",T2)</f>
        <v xml:space="preserve">Наименование тарифа</v>
      </c>
      <c r="AY2" s="500"/>
      <c r="AZ2" s="500"/>
      <c r="BA2" s="1155">
        <v>0</v>
      </c>
    </row>
    <row r="3" ht="21" hidden="1" customHeight="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399</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400</v>
      </c>
      <c r="AW3" s="500"/>
      <c r="AX3" s="500" t="str">
        <f>IF(T3="","",T3)</f>
        <v xml:space="preserve">Территория действия тарифа</v>
      </c>
      <c r="AY3" s="500"/>
      <c r="AZ3" s="500"/>
      <c r="BA3" s="1155">
        <v>0</v>
      </c>
    </row>
    <row r="4" ht="22.5" hidden="1" customHeight="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401</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402</v>
      </c>
      <c r="AW4" s="500"/>
      <c r="AX4" s="500" t="str">
        <f>IF(T4="","",T4)</f>
        <v xml:space="preserve">Наименование системы теплоснабжения</v>
      </c>
      <c r="AY4" s="500"/>
      <c r="AZ4" s="500"/>
      <c r="BA4" s="1155">
        <v>0</v>
      </c>
    </row>
    <row r="5" ht="21" hidden="1" customHeight="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403</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404</v>
      </c>
      <c r="AW5" s="500"/>
      <c r="AX5" s="500" t="str">
        <f>IF(T5="","",T5)</f>
        <v xml:space="preserve">Источник тепловой энергии</v>
      </c>
      <c r="AY5" s="500"/>
      <c r="AZ5" s="500"/>
      <c r="BA5" s="1155">
        <v>0</v>
      </c>
    </row>
    <row r="6" s="1642" customFormat="1" ht="0.75" hidden="1" customHeight="1">
      <c r="A6" s="1343"/>
      <c r="B6" s="1343"/>
      <c r="C6" s="1343"/>
      <c r="D6" s="1343"/>
      <c r="E6" s="2259"/>
      <c r="F6" s="2259"/>
      <c r="G6" s="2259"/>
      <c r="H6" s="2259"/>
      <c r="I6" s="2256">
        <f>S5&amp;".1"</f>
      </c>
      <c r="J6" s="1343"/>
      <c r="K6" s="1343"/>
      <c r="L6" s="1346" t="s">
        <v>405</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r="7" s="1642" customFormat="1" ht="0.75" hidden="1" customHeight="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r="8" ht="21" hidden="1" customHeight="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65</v>
      </c>
      <c r="Z8" s="2265"/>
      <c r="AA8" s="2107" t="s">
        <v>65</v>
      </c>
      <c r="AB8" s="2107" t="s">
        <v>19</v>
      </c>
      <c r="AC8" s="2326"/>
      <c r="AD8" s="2205">
        <v>1</v>
      </c>
      <c r="AE8" s="2327"/>
      <c r="AF8" s="2107" t="s">
        <v>19</v>
      </c>
      <c r="AG8" s="2326"/>
      <c r="AH8" s="2205">
        <v>1</v>
      </c>
      <c r="AI8" s="2327"/>
      <c r="AJ8" s="2107" t="s">
        <v>19</v>
      </c>
      <c r="AK8" s="311"/>
      <c r="AL8" s="1337">
        <v>1</v>
      </c>
      <c r="AM8" s="1398"/>
      <c r="AN8" s="751"/>
      <c r="AO8" s="1257"/>
      <c r="AP8" s="1734"/>
      <c r="AQ8" s="1459" t="s">
        <v>65</v>
      </c>
      <c r="AR8" s="1734"/>
      <c r="AS8" s="1459" t="s">
        <v>65</v>
      </c>
      <c r="AT8" s="1348"/>
      <c r="AU8" s="2253" t="s">
        <v>466</v>
      </c>
      <c r="AV8" s="511">
        <f>STRCHECKDATE(V11:AT11)</f>
      </c>
      <c r="AW8" s="500"/>
      <c r="AX8" s="500" t="str">
        <f>IF(T8="","",T8)</f>
        <v/>
      </c>
      <c r="AY8" s="500"/>
      <c r="AZ8" s="500"/>
      <c r="BA8" s="1155">
        <v>0</v>
      </c>
    </row>
    <row r="9" ht="11.25" hidden="1" customHeight="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467</v>
      </c>
      <c r="AN9" s="1393"/>
      <c r="AO9" s="1496"/>
      <c r="AP9" s="1393"/>
      <c r="AQ9" s="1393"/>
      <c r="AR9" s="1393"/>
      <c r="AS9" s="1393"/>
      <c r="AT9" s="1390"/>
      <c r="AU9" s="2254"/>
      <c r="AW9" s="500"/>
      <c r="AX9" s="500"/>
      <c r="AY9" s="500"/>
      <c r="AZ9" s="500"/>
      <c r="BA9" s="1155">
        <v>0</v>
      </c>
    </row>
    <row r="10" ht="11.25" hidden="1" customHeight="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468</v>
      </c>
      <c r="AJ10" s="1393"/>
      <c r="AK10" s="1393"/>
      <c r="AL10" s="1393"/>
      <c r="AM10" s="1393"/>
      <c r="AN10" s="1393"/>
      <c r="AO10" s="1496"/>
      <c r="AP10" s="1393"/>
      <c r="AQ10" s="1393"/>
      <c r="AR10" s="1393"/>
      <c r="AS10" s="1393"/>
      <c r="AT10" s="1390"/>
      <c r="AU10" s="2254"/>
      <c r="AW10" s="500"/>
      <c r="AX10" s="500"/>
      <c r="AY10" s="500"/>
      <c r="AZ10" s="500"/>
      <c r="BA10" s="1155">
        <v>0</v>
      </c>
    </row>
    <row r="11" ht="11.25" hidden="1" customHeight="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469</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r="12" ht="11.25" hidden="1" customHeight="1">
      <c r="A12" s="1363"/>
      <c r="B12" s="1363"/>
      <c r="C12" s="1363"/>
      <c r="D12" s="1363"/>
      <c r="E12" s="2259"/>
      <c r="F12" s="2259"/>
      <c r="G12" s="2259"/>
      <c r="H12" s="2259"/>
      <c r="I12" s="2286"/>
      <c r="J12" s="2256"/>
      <c r="K12" s="1363"/>
      <c r="L12" s="1364"/>
      <c r="P12" s="2257"/>
      <c r="Q12" s="2257"/>
      <c r="R12" s="356"/>
      <c r="S12" s="1278"/>
      <c r="T12" s="287" t="s">
        <v>470</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 xml:space="preserve">Добавить строку</v>
      </c>
      <c r="AY12" s="500"/>
      <c r="AZ12" s="500"/>
      <c r="BA12" s="1155">
        <v>0</v>
      </c>
    </row>
    <row r="13" s="1642" customFormat="1" ht="0.75" hidden="1" customHeight="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r="14" s="1642" customFormat="1" ht="0.75" hidden="1" customHeight="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r="15" s="1642" customFormat="1" ht="0.75" hidden="1" customHeight="1">
      <c r="A15" s="1343"/>
      <c r="B15" s="1343"/>
      <c r="C15" s="1343"/>
      <c r="D15" s="1314"/>
      <c r="E15" s="2259"/>
      <c r="F15" s="2259"/>
      <c r="G15" s="2258"/>
      <c r="H15" s="1314"/>
      <c r="I15" s="1314"/>
      <c r="J15" s="1314"/>
      <c r="K15" s="1314"/>
      <c r="L15" s="1339"/>
      <c r="M15" s="1315"/>
      <c r="N15" s="1315"/>
      <c r="P15" s="1316"/>
      <c r="Q15" s="1317"/>
      <c r="R15" s="1316"/>
      <c r="S15" s="1322"/>
      <c r="T15" s="1325" t="s">
        <v>416</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 xml:space="preserve">Добавить источник для дифференциации</v>
      </c>
      <c r="AY15" s="789"/>
      <c r="AZ15" s="789"/>
      <c r="BA15" s="518">
        <v>0</v>
      </c>
    </row>
    <row r="16" s="1642" customFormat="1" ht="0.75" hidden="1" customHeight="1">
      <c r="A16" s="1343"/>
      <c r="B16" s="1343"/>
      <c r="C16" s="1314"/>
      <c r="D16" s="1314"/>
      <c r="E16" s="2259"/>
      <c r="F16" s="2258"/>
      <c r="G16" s="1314"/>
      <c r="H16" s="1314"/>
      <c r="I16" s="1314"/>
      <c r="J16" s="1314"/>
      <c r="K16" s="1314"/>
      <c r="L16" s="1339"/>
      <c r="M16" s="1321"/>
      <c r="N16" s="1321"/>
      <c r="P16" s="1316"/>
      <c r="Q16" s="1317"/>
      <c r="R16" s="1316"/>
      <c r="S16" s="1322"/>
      <c r="T16" s="1325" t="s">
        <v>417</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 xml:space="preserve">Добавить централизованную систему для дифференциации</v>
      </c>
      <c r="AY16" s="789"/>
      <c r="AZ16" s="789"/>
      <c r="BA16" s="518">
        <v>0</v>
      </c>
    </row>
    <row r="17" s="1642" customFormat="1" ht="0.75" hidden="1" customHeight="1">
      <c r="A17" s="1343"/>
      <c r="B17" s="1343"/>
      <c r="C17" s="1343"/>
      <c r="D17" s="1343"/>
      <c r="E17" s="2258"/>
      <c r="F17" s="1343"/>
      <c r="G17" s="1343"/>
      <c r="H17" s="1343"/>
      <c r="I17" s="1343"/>
      <c r="J17" s="1343"/>
      <c r="K17" s="1343"/>
      <c r="L17" s="1346"/>
      <c r="M17" s="1321"/>
      <c r="N17" s="1321"/>
      <c r="O17" s="518"/>
      <c r="P17" s="380"/>
      <c r="Q17" s="1344"/>
      <c r="R17" s="380"/>
      <c r="S17" s="1322"/>
      <c r="T17" s="1325" t="s">
        <v>418</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 xml:space="preserve">Добавить территорию для дифференциации</v>
      </c>
      <c r="AY17" s="500"/>
      <c r="AZ17" s="500"/>
      <c r="BA17" s="511">
        <v>0</v>
      </c>
    </row>
    <row r="18" ht="14.25" hidden="1" customHeight="1">
      <c r="AA18" s="327"/>
      <c r="AS18" s="327"/>
      <c r="BA18" s="1155">
        <v>0</v>
      </c>
    </row>
    <row r="19" ht="14.25" hidden="1" customHeight="1">
      <c r="AB19" s="1324" t="s">
        <v>19</v>
      </c>
      <c r="AC19" s="1501"/>
      <c r="AD19" s="548">
        <v>1</v>
      </c>
      <c r="AE19" s="1502"/>
      <c r="AF19" s="1324" t="s">
        <v>19</v>
      </c>
      <c r="AG19" s="1501"/>
      <c r="AH19" s="548">
        <v>1</v>
      </c>
      <c r="AI19" s="1502"/>
      <c r="AJ19" s="1324" t="s">
        <v>19</v>
      </c>
      <c r="AK19" s="1503"/>
      <c r="AL19" s="548">
        <v>1</v>
      </c>
      <c r="AM19" s="1506"/>
      <c r="AN19" s="1403"/>
      <c r="AO19" s="1404"/>
      <c r="AP19" s="1736"/>
      <c r="AQ19" s="1460" t="s">
        <v>65</v>
      </c>
      <c r="AR19" s="1736"/>
      <c r="AS19" s="1460" t="s">
        <v>65</v>
      </c>
      <c r="BA19" s="1155">
        <v>0</v>
      </c>
    </row>
    <row r="20" ht="14.25" hidden="1" customHeight="1">
      <c r="AV20" s="496"/>
      <c r="AW20" s="496"/>
      <c r="AX20" s="496"/>
      <c r="AY20" s="496"/>
      <c r="AZ20" s="496"/>
      <c r="BA20" s="1155">
        <v>0</v>
      </c>
    </row>
    <row r="21" ht="14.25" hidden="1" customHeight="1">
      <c r="O21" s="1367" t="s">
        <v>419</v>
      </c>
      <c r="X21" s="1345"/>
      <c r="Z21" s="1345"/>
      <c r="AA21" s="327"/>
      <c r="AP21" s="1345"/>
      <c r="AR21" s="1345"/>
      <c r="AS21" s="327"/>
      <c r="AV21" s="496"/>
      <c r="AW21" s="496"/>
      <c r="AX21" s="496"/>
      <c r="AY21" s="496"/>
      <c r="AZ21" s="496"/>
      <c r="BA21" s="1155">
        <v>0</v>
      </c>
    </row>
    <row r="22" ht="14.25" hidden="1" customHeight="1">
      <c r="AA22" s="327"/>
      <c r="AS22" s="327"/>
      <c r="AV22" s="496"/>
      <c r="AW22" s="496"/>
      <c r="AX22" s="496"/>
      <c r="AY22" s="496"/>
      <c r="AZ22" s="496"/>
      <c r="BA22" s="1155">
        <v>0</v>
      </c>
    </row>
    <row r="23" s="1509" customFormat="1" ht="14.25" hidden="1" customHeight="1">
      <c r="M23" s="1508"/>
      <c r="N23" s="1508"/>
      <c r="O23" s="1509" t="s">
        <v>420</v>
      </c>
      <c r="P23" s="1508"/>
      <c r="Q23" s="1510"/>
      <c r="R23" s="1510"/>
      <c r="Y23" s="1507" t="s">
        <v>422</v>
      </c>
      <c r="AA23" s="1507" t="s">
        <v>423</v>
      </c>
      <c r="AB23" s="1507" t="s">
        <v>471</v>
      </c>
      <c r="AE23" s="1507" t="s">
        <v>472</v>
      </c>
      <c r="AF23" s="1507" t="s">
        <v>471</v>
      </c>
      <c r="AI23" s="1507" t="s">
        <v>473</v>
      </c>
      <c r="AJ23" s="1507" t="s">
        <v>471</v>
      </c>
      <c r="AM23" s="1507" t="s">
        <v>474</v>
      </c>
      <c r="AQ23" s="1507" t="s">
        <v>422</v>
      </c>
      <c r="AS23" s="1507" t="s">
        <v>423</v>
      </c>
      <c r="AV23" s="1511"/>
      <c r="AW23" s="1511"/>
      <c r="AX23" s="1511"/>
      <c r="AY23" s="1511"/>
      <c r="AZ23" s="1511"/>
      <c r="BA23" s="1507">
        <v>0</v>
      </c>
    </row>
    <row r="24" ht="14.25" hidden="1" customHeight="1">
      <c r="O24" s="1364"/>
      <c r="AV24" s="496"/>
      <c r="AW24" s="496"/>
      <c r="AX24" s="496"/>
      <c r="AY24" s="496"/>
      <c r="AZ24" s="496"/>
      <c r="BA24" s="1155">
        <v>0</v>
      </c>
    </row>
    <row r="25" ht="14.25" hidden="1" customHeight="1">
      <c r="O25" s="1364"/>
      <c r="AV25" s="496"/>
      <c r="AW25" s="496"/>
      <c r="AX25" s="496"/>
      <c r="AY25" s="496"/>
      <c r="AZ25" s="496"/>
      <c r="BA25" s="1155">
        <v>0</v>
      </c>
    </row>
    <row r="26" ht="14.65" customHeight="1">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r="27" ht="27.300000000000001" customHeight="1">
      <c r="Q27" s="291"/>
      <c r="R27" s="376"/>
      <c r="S27" s="2248" t="str">
        <f>IF(TEMPLATE_GROUP="P",PT_P_FORM_HEAT_7_NAME_FORM,PT_R_FORM_HEAT_24_NAME_FORM)</f>
        <v xml:space="preserve">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r="28" ht="14.65" customHeight="1">
      <c r="Q28" s="291"/>
      <c r="R28" s="376"/>
      <c r="S28" s="2249" t="str">
        <f>IF(org=0,"Не определено",org)</f>
        <v xml:space="preserve">филиал ПАО "ОГК-2" - Рязанская ГРЭС</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r="29" ht="14.25" hidden="1" customHeight="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r="30" s="1853" customFormat="1" ht="25.5" hidden="1" customHeight="1">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r="31" s="1853" customFormat="1" ht="18.75" hidden="1" customHeight="1">
      <c r="A31" s="1368"/>
      <c r="B31" s="1368"/>
      <c r="C31" s="1368"/>
      <c r="D31" s="1368"/>
      <c r="E31" s="1368"/>
      <c r="F31" s="1368"/>
      <c r="G31" s="1368"/>
      <c r="H31" s="1368"/>
      <c r="I31" s="1368"/>
      <c r="J31" s="1368"/>
      <c r="K31" s="1368"/>
      <c r="L31" s="1369"/>
      <c r="M31" s="1368"/>
      <c r="N31" s="1368"/>
      <c r="O31" s="1368"/>
      <c r="P31" s="1368"/>
      <c r="Q31" s="1368"/>
      <c r="S31" s="2250" t="s">
        <v>425</v>
      </c>
      <c r="T31" s="2250"/>
      <c r="U31" s="1372"/>
      <c r="V31" s="2264" t="str">
        <f>IF(TITLE_DATE_PR_CHANGE="",IF(TITLE_DATE_PR="","",TITLE_DATE_PR),TITLE_DATE_PR_CHANGE)</f>
        <v/>
      </c>
      <c r="W31" s="2264"/>
      <c r="X31" s="2264"/>
      <c r="Y31" s="2264"/>
      <c r="Z31" s="2264"/>
      <c r="AA31" s="326"/>
      <c r="AB31" s="2264" t="str">
        <f>IF(TITLE_DATE_PR_CHANGE="",IF(TITLE_DATE_PR="","",TITLE_DATE_PR),TITLE_DATE_PR_CHANGE)</f>
        <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r="32" s="1853" customFormat="1" ht="18.75" hidden="1" customHeight="1">
      <c r="A32" s="1368"/>
      <c r="B32" s="1368"/>
      <c r="C32" s="1368"/>
      <c r="D32" s="1368"/>
      <c r="E32" s="1368"/>
      <c r="F32" s="1368"/>
      <c r="G32" s="1368"/>
      <c r="H32" s="1368"/>
      <c r="I32" s="1368"/>
      <c r="J32" s="1368"/>
      <c r="K32" s="1368"/>
      <c r="L32" s="1369"/>
      <c r="M32" s="1368"/>
      <c r="N32" s="1368"/>
      <c r="O32" s="1368"/>
      <c r="P32" s="1368"/>
      <c r="Q32" s="1368"/>
      <c r="S32" s="2250" t="s">
        <v>426</v>
      </c>
      <c r="T32" s="2250"/>
      <c r="U32" s="1372"/>
      <c r="V32" s="2251" t="str">
        <f>IF(TITLE_NUMBER_PR_CHANGE="",IF(TITLE_NUMBER_PR="","",TITLE_NUMBER_PR),TITLE_NUMBER_PR_CHANGE)</f>
        <v/>
      </c>
      <c r="W32" s="2251"/>
      <c r="X32" s="2251"/>
      <c r="Y32" s="2251"/>
      <c r="Z32" s="2251"/>
      <c r="AA32" s="326"/>
      <c r="AB32" s="2251" t="str">
        <f>IF(TITLE_NUMBER_PR_CHANGE="",IF(TITLE_NUMBER_PR="","",TITLE_NUMBER_PR),TITLE_NUMBER_PR_CHANGE)</f>
        <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r="33" s="1853" customFormat="1" ht="18.75" hidden="1" customHeight="1">
      <c r="A33" s="1368"/>
      <c r="B33" s="1368"/>
      <c r="C33" s="1368"/>
      <c r="D33" s="1368"/>
      <c r="E33" s="1368"/>
      <c r="F33" s="1368"/>
      <c r="G33" s="1368"/>
      <c r="H33" s="1368"/>
      <c r="I33" s="1368"/>
      <c r="J33" s="1368"/>
      <c r="K33" s="1368"/>
      <c r="L33" s="1369"/>
      <c r="M33" s="1368"/>
      <c r="N33" s="1368"/>
      <c r="O33" s="1368"/>
      <c r="P33" s="1368"/>
      <c r="Q33" s="1368"/>
      <c r="S33" s="2250" t="s">
        <v>43</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r="34" ht="14.25" hidden="1" customHeight="1">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r="35" s="1853" customFormat="1" ht="18.75" hidden="1" customHeight="1">
      <c r="A35" s="1368"/>
      <c r="B35" s="1368"/>
      <c r="C35" s="1368"/>
      <c r="D35" s="1368"/>
      <c r="E35" s="1368"/>
      <c r="F35" s="1368"/>
      <c r="G35" s="1368"/>
      <c r="H35" s="1368"/>
      <c r="I35" s="1368"/>
      <c r="J35" s="1368"/>
      <c r="K35" s="1368"/>
      <c r="L35" s="1369"/>
      <c r="M35" s="1368"/>
      <c r="N35" s="1368"/>
      <c r="O35" s="1368"/>
      <c r="P35" s="1368"/>
      <c r="Q35" s="1368"/>
      <c r="S35" s="2250" t="s">
        <v>425</v>
      </c>
      <c r="T35" s="2250"/>
      <c r="U35" s="1372"/>
      <c r="V35" s="2264" t="str">
        <f>IF(TITLE_DATE_PR_CHANGE="",IF(TITLE_DATE_PR="","",TITLE_DATE_PR),TITLE_DATE_PR_CHANGE)</f>
        <v/>
      </c>
      <c r="W35" s="2264"/>
      <c r="X35" s="2264"/>
      <c r="Y35" s="2264"/>
      <c r="Z35" s="2264"/>
      <c r="AA35" s="326"/>
      <c r="AB35" s="2264" t="str">
        <f>IF(TITLE_DATE_PR_CHANGE="",IF(TITLE_DATE_PR="","",TITLE_DATE_PR),TITLE_DATE_PR_CHANGE)</f>
        <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r="36" s="1853" customFormat="1" ht="18" hidden="1" customHeight="1">
      <c r="A36" s="1368"/>
      <c r="B36" s="1368"/>
      <c r="C36" s="1368"/>
      <c r="D36" s="1368"/>
      <c r="E36" s="1368"/>
      <c r="F36" s="1368"/>
      <c r="G36" s="1368"/>
      <c r="H36" s="1368"/>
      <c r="I36" s="1368"/>
      <c r="J36" s="1368"/>
      <c r="K36" s="1368"/>
      <c r="L36" s="1369"/>
      <c r="M36" s="1368"/>
      <c r="N36" s="1368"/>
      <c r="O36" s="1368"/>
      <c r="P36" s="1368"/>
      <c r="Q36" s="1368"/>
      <c r="S36" s="2250" t="s">
        <v>426</v>
      </c>
      <c r="T36" s="2250"/>
      <c r="U36" s="1372"/>
      <c r="V36" s="2251" t="str">
        <f>IF(TITLE_NUMBER_PR_CHANGE="",IF(TITLE_NUMBER_PR="","",TITLE_NUMBER_PR),TITLE_NUMBER_PR_CHANGE)</f>
        <v/>
      </c>
      <c r="W36" s="2251"/>
      <c r="X36" s="2251"/>
      <c r="Y36" s="2251"/>
      <c r="Z36" s="2251"/>
      <c r="AA36" s="326"/>
      <c r="AB36" s="2251" t="str">
        <f>IF(TITLE_NUMBER_PR_CHANGE="",IF(TITLE_NUMBER_PR="","",TITLE_NUMBER_PR),TITLE_NUMBER_PR_CHANGE)</f>
        <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r="37" s="1853" customFormat="1" ht="1.05" customHeight="1">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429</v>
      </c>
      <c r="AB37" s="326"/>
      <c r="AC37" s="326"/>
      <c r="AD37" s="326"/>
      <c r="AE37" s="326"/>
      <c r="AF37" s="326"/>
      <c r="AG37" s="326"/>
      <c r="AH37" s="326"/>
      <c r="AI37" s="326"/>
      <c r="AJ37" s="326"/>
      <c r="AK37" s="326"/>
      <c r="AL37" s="326"/>
      <c r="AM37" s="326"/>
      <c r="AN37" s="326"/>
      <c r="AO37" s="326"/>
      <c r="AP37" s="326"/>
      <c r="AQ37" s="326"/>
      <c r="AR37" s="326"/>
      <c r="AS37" s="278" t="s">
        <v>429</v>
      </c>
      <c r="AV37" s="368"/>
      <c r="AW37" s="368"/>
      <c r="AX37" s="368"/>
      <c r="AY37" s="368"/>
      <c r="AZ37" s="368"/>
      <c r="BA37" s="418">
        <v>1</v>
      </c>
    </row>
    <row r="38" ht="14.65" customHeight="1">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r="39" ht="14.65" customHeight="1">
      <c r="Q39" s="291"/>
      <c r="R39" s="376"/>
      <c r="S39" s="2127" t="s">
        <v>302</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303</v>
      </c>
      <c r="BA39" s="1155">
        <v>14</v>
      </c>
    </row>
    <row r="40" ht="14.65" customHeight="1">
      <c r="Q40" s="291"/>
      <c r="R40" s="376"/>
      <c r="S40" s="2273" t="s">
        <v>87</v>
      </c>
      <c r="T40" s="2209" t="s">
        <v>475</v>
      </c>
      <c r="U40" s="301"/>
      <c r="V40" s="2275"/>
      <c r="W40" s="2275"/>
      <c r="X40" s="2275"/>
      <c r="Y40" s="2275"/>
      <c r="Z40" s="2276"/>
      <c r="AA40" s="2336" t="s">
        <v>432</v>
      </c>
      <c r="AB40" s="2328" t="s">
        <v>476</v>
      </c>
      <c r="AC40" s="2291"/>
      <c r="AD40" s="2291"/>
      <c r="AE40" s="2329"/>
      <c r="AF40" s="2291" t="s">
        <v>477</v>
      </c>
      <c r="AG40" s="2291"/>
      <c r="AH40" s="2291"/>
      <c r="AI40" s="2329"/>
      <c r="AJ40" s="2328" t="s">
        <v>478</v>
      </c>
      <c r="AK40" s="2291"/>
      <c r="AL40" s="2291"/>
      <c r="AM40" s="2329"/>
      <c r="AN40" s="2328" t="s">
        <v>431</v>
      </c>
      <c r="AO40" s="2291"/>
      <c r="AP40" s="2275"/>
      <c r="AQ40" s="2275"/>
      <c r="AR40" s="2276"/>
      <c r="AS40" s="2277" t="s">
        <v>432</v>
      </c>
      <c r="AT40" s="2280" t="s">
        <v>434</v>
      </c>
      <c r="AU40" s="2127"/>
      <c r="BA40" s="1155">
        <v>14</v>
      </c>
    </row>
    <row r="41" ht="35.649999999999999" customHeight="1">
      <c r="Q41" s="291"/>
      <c r="R41" s="376"/>
      <c r="S41" s="2273"/>
      <c r="T41" s="2209"/>
      <c r="U41" s="1031"/>
      <c r="V41" s="2127" t="s">
        <v>479</v>
      </c>
      <c r="W41" s="2127"/>
      <c r="X41" s="2294" t="s">
        <v>438</v>
      </c>
      <c r="Y41" s="2313"/>
      <c r="Z41" s="2314"/>
      <c r="AA41" s="2337"/>
      <c r="AB41" s="2330"/>
      <c r="AC41" s="2331"/>
      <c r="AD41" s="2331"/>
      <c r="AE41" s="2332"/>
      <c r="AF41" s="2331"/>
      <c r="AG41" s="2331"/>
      <c r="AH41" s="2331"/>
      <c r="AI41" s="2332"/>
      <c r="AJ41" s="2330"/>
      <c r="AK41" s="2331"/>
      <c r="AL41" s="2331"/>
      <c r="AM41" s="2331"/>
      <c r="AN41" s="2127" t="s">
        <v>479</v>
      </c>
      <c r="AO41" s="2127"/>
      <c r="AP41" s="2313" t="s">
        <v>438</v>
      </c>
      <c r="AQ41" s="2313"/>
      <c r="AR41" s="2314"/>
      <c r="AS41" s="2278"/>
      <c r="AT41" s="2281"/>
      <c r="AU41" s="2127"/>
      <c r="BA41" s="1155">
        <v>34</v>
      </c>
    </row>
    <row r="42" ht="14.65" customHeight="1">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r="43" ht="14.65" customHeight="1">
      <c r="A43" s="1370"/>
      <c r="B43" s="1370" t="s">
        <v>139</v>
      </c>
      <c r="C43" s="1370" t="s">
        <v>140</v>
      </c>
      <c r="D43" s="1370" t="s">
        <v>141</v>
      </c>
      <c r="E43" s="1364" t="s">
        <v>439</v>
      </c>
      <c r="F43" s="1364" t="s">
        <v>440</v>
      </c>
      <c r="G43" s="1364" t="s">
        <v>441</v>
      </c>
      <c r="H43" s="1364" t="s">
        <v>442</v>
      </c>
      <c r="I43" s="1364" t="s">
        <v>443</v>
      </c>
      <c r="J43" s="1364" t="s">
        <v>444</v>
      </c>
      <c r="K43" s="1364" t="s">
        <v>445</v>
      </c>
      <c r="L43" s="1364" t="s">
        <v>420</v>
      </c>
      <c r="Q43" s="291"/>
      <c r="R43" s="376"/>
      <c r="S43" s="2273"/>
      <c r="T43" s="2209"/>
      <c r="U43" s="302"/>
      <c r="V43" s="1330" t="s">
        <v>480</v>
      </c>
      <c r="W43" s="1330" t="s">
        <v>481</v>
      </c>
      <c r="X43" s="1338" t="s">
        <v>448</v>
      </c>
      <c r="Y43" s="2270" t="s">
        <v>449</v>
      </c>
      <c r="Z43" s="2271"/>
      <c r="AA43" s="2338"/>
      <c r="AB43" s="2333"/>
      <c r="AC43" s="2334"/>
      <c r="AD43" s="2334"/>
      <c r="AE43" s="2335"/>
      <c r="AF43" s="2334"/>
      <c r="AG43" s="2334"/>
      <c r="AH43" s="2334"/>
      <c r="AI43" s="2335"/>
      <c r="AJ43" s="2333"/>
      <c r="AK43" s="2334"/>
      <c r="AL43" s="2334"/>
      <c r="AM43" s="2335"/>
      <c r="AN43" s="1860" t="s">
        <v>480</v>
      </c>
      <c r="AO43" s="1860" t="s">
        <v>481</v>
      </c>
      <c r="AP43" s="1338" t="s">
        <v>448</v>
      </c>
      <c r="AQ43" s="2270" t="s">
        <v>449</v>
      </c>
      <c r="AR43" s="2271"/>
      <c r="AS43" s="2279"/>
      <c r="AT43" s="2282"/>
      <c r="AU43" s="2127"/>
      <c r="BA43" s="1155">
        <v>14</v>
      </c>
    </row>
    <row r="44" s="1641" customFormat="1" ht="11.25" hidden="1" customHeight="1">
      <c r="A44" s="1370"/>
      <c r="B44" s="1370"/>
      <c r="C44" s="1370"/>
      <c r="D44" s="1370"/>
      <c r="E44" s="1370"/>
      <c r="F44" s="1370"/>
      <c r="G44" s="1370"/>
      <c r="H44" s="1370"/>
      <c r="I44" s="1370"/>
      <c r="J44" s="1370"/>
      <c r="K44" s="1370"/>
      <c r="L44" s="1364"/>
      <c r="M44" s="1362"/>
      <c r="N44" s="1362"/>
      <c r="O44" s="1362"/>
      <c r="P44" s="510"/>
      <c r="Q44" s="1254"/>
      <c r="R44" s="1254">
        <v>1</v>
      </c>
      <c r="S44" s="1277" t="s">
        <v>109</v>
      </c>
      <c r="T44" s="1255" t="s">
        <v>110</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r="45" ht="107.25" customHeight="1">
      <c r="A45" s="1363" t="s">
        <v>202</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127</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 xml:space="preserve">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 xml:space="preserve">Наименование тарифа</v>
      </c>
      <c r="AY45" s="500"/>
      <c r="AZ45" s="500"/>
      <c r="BA45" s="1155">
        <v>102</v>
      </c>
    </row>
    <row r="46" ht="22" customHeight="1">
      <c r="A46" s="1363" t="s">
        <v>202</v>
      </c>
      <c r="B46" s="1363" t="s">
        <v>203</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399</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400</v>
      </c>
      <c r="AW46" s="500"/>
      <c r="AX46" s="500" t="str">
        <f>IF(T46="","",T46)</f>
        <v xml:space="preserve">Территория действия тарифа</v>
      </c>
      <c r="AY46" s="500"/>
      <c r="AZ46" s="500"/>
      <c r="BA46" s="1155">
        <v>21</v>
      </c>
    </row>
    <row r="47" ht="24" customHeight="1">
      <c r="A47" s="1363" t="s">
        <v>202</v>
      </c>
      <c r="B47" s="1363" t="s">
        <v>203</v>
      </c>
      <c r="C47" s="1363" t="s">
        <v>204</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401</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402</v>
      </c>
      <c r="AW47" s="500"/>
      <c r="AX47" s="500" t="str">
        <f>IF(T47="","",T47)</f>
        <v xml:space="preserve">Наименование системы теплоснабжения</v>
      </c>
      <c r="AY47" s="500"/>
      <c r="AZ47" s="500"/>
      <c r="BA47" s="1155">
        <v>23</v>
      </c>
    </row>
    <row r="48" ht="21" customHeight="1">
      <c r="A48" s="1363" t="s">
        <v>202</v>
      </c>
      <c r="B48" s="1363" t="s">
        <v>203</v>
      </c>
      <c r="C48" s="1363" t="s">
        <v>204</v>
      </c>
      <c r="D48" s="1363" t="s">
        <v>205</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403</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404</v>
      </c>
      <c r="AW48" s="500"/>
      <c r="AX48" s="500" t="str">
        <f>IF(T48="","",T48)</f>
        <v xml:space="preserve">Источник тепловой энергии</v>
      </c>
      <c r="AY48" s="500"/>
      <c r="AZ48" s="500"/>
      <c r="BA48" s="1155">
        <v>20</v>
      </c>
    </row>
    <row r="49" s="1642" customFormat="1" ht="1.05" customHeight="1">
      <c r="A49" s="1343" t="s">
        <v>202</v>
      </c>
      <c r="B49" s="1343" t="s">
        <v>203</v>
      </c>
      <c r="C49" s="1343" t="s">
        <v>204</v>
      </c>
      <c r="D49" s="1343" t="s">
        <v>205</v>
      </c>
      <c r="E49" s="2259"/>
      <c r="F49" s="2259"/>
      <c r="G49" s="2259"/>
      <c r="H49" s="2259"/>
      <c r="I49" s="2256" t="str">
        <f>S48&amp;".1"</f>
        <v>....1</v>
      </c>
      <c r="J49" s="1343"/>
      <c r="K49" s="1343"/>
      <c r="L49" s="1346" t="s">
        <v>405</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r="50" s="1642" customFormat="1" ht="1.05" customHeight="1">
      <c r="A50" s="1343" t="s">
        <v>202</v>
      </c>
      <c r="B50" s="1343" t="s">
        <v>203</v>
      </c>
      <c r="C50" s="1343" t="s">
        <v>204</v>
      </c>
      <c r="D50" s="1343" t="s">
        <v>205</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r="51" ht="22" customHeight="1">
      <c r="A51" s="1363" t="s">
        <v>202</v>
      </c>
      <c r="B51" s="1363" t="s">
        <v>203</v>
      </c>
      <c r="C51" s="1363" t="s">
        <v>204</v>
      </c>
      <c r="D51" s="1363" t="s">
        <v>205</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65</v>
      </c>
      <c r="Z51" s="1734"/>
      <c r="AA51" s="1459" t="s">
        <v>65</v>
      </c>
      <c r="AB51" s="2107" t="s">
        <v>19</v>
      </c>
      <c r="AC51" s="2326"/>
      <c r="AD51" s="2205">
        <v>1</v>
      </c>
      <c r="AE51" s="2348" t="s">
        <v>22</v>
      </c>
      <c r="AF51" s="2107" t="s">
        <v>19</v>
      </c>
      <c r="AG51" s="2326"/>
      <c r="AH51" s="2205">
        <v>1</v>
      </c>
      <c r="AI51" s="2348" t="s">
        <v>22</v>
      </c>
      <c r="AJ51" s="2107" t="s">
        <v>19</v>
      </c>
      <c r="AK51" s="311"/>
      <c r="AL51" s="1337">
        <v>1</v>
      </c>
      <c r="AM51" s="1402"/>
      <c r="AN51" s="751"/>
      <c r="AO51" s="1257"/>
      <c r="AP51" s="1734"/>
      <c r="AQ51" s="1459" t="s">
        <v>65</v>
      </c>
      <c r="AR51" s="1734"/>
      <c r="AS51" s="1459" t="s">
        <v>65</v>
      </c>
      <c r="AT51" s="1348"/>
      <c r="AU51" s="2253" t="s">
        <v>482</v>
      </c>
      <c r="AV51" s="511">
        <f>STRCHECKDATE(V54:AT54)</f>
      </c>
      <c r="AW51" s="500"/>
      <c r="AX51" s="500" t="str">
        <f>IF(T51="","",T51)</f>
        <v/>
      </c>
      <c r="AY51" s="500"/>
      <c r="AZ51" s="500"/>
      <c r="BA51" s="1155">
        <v>21</v>
      </c>
    </row>
    <row r="52" ht="11.5" customHeight="1">
      <c r="A52" s="1363" t="s">
        <v>202</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467</v>
      </c>
      <c r="AN52" s="1393"/>
      <c r="AO52" s="1496"/>
      <c r="AP52" s="1393"/>
      <c r="AQ52" s="1393"/>
      <c r="AR52" s="1393"/>
      <c r="AS52" s="1393"/>
      <c r="AT52" s="1390"/>
      <c r="AU52" s="2254"/>
      <c r="AW52" s="500"/>
      <c r="AX52" s="500"/>
      <c r="AY52" s="500"/>
      <c r="AZ52" s="500"/>
      <c r="BA52" s="1155">
        <v>11</v>
      </c>
    </row>
    <row r="53" ht="11.5" customHeight="1">
      <c r="A53" s="1363" t="s">
        <v>202</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468</v>
      </c>
      <c r="AJ53" s="1393"/>
      <c r="AK53" s="1393"/>
      <c r="AL53" s="1393"/>
      <c r="AM53" s="1393"/>
      <c r="AN53" s="1393"/>
      <c r="AO53" s="1496"/>
      <c r="AP53" s="1393"/>
      <c r="AQ53" s="1393"/>
      <c r="AR53" s="1393"/>
      <c r="AS53" s="1393"/>
      <c r="AT53" s="1390"/>
      <c r="AU53" s="2254"/>
      <c r="AW53" s="500"/>
      <c r="AX53" s="500"/>
      <c r="AY53" s="500"/>
      <c r="AZ53" s="500"/>
      <c r="BA53" s="1155">
        <v>11</v>
      </c>
    </row>
    <row r="54" ht="11.5" customHeight="1">
      <c r="A54" s="1363" t="s">
        <v>202</v>
      </c>
      <c r="B54" s="1363" t="s">
        <v>203</v>
      </c>
      <c r="C54" s="1363" t="s">
        <v>204</v>
      </c>
      <c r="D54" s="1363" t="s">
        <v>205</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469</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r="55" ht="11.5" customHeight="1">
      <c r="A55" s="1363" t="s">
        <v>202</v>
      </c>
      <c r="B55" s="1363" t="s">
        <v>203</v>
      </c>
      <c r="C55" s="1363" t="s">
        <v>204</v>
      </c>
      <c r="D55" s="1363" t="s">
        <v>205</v>
      </c>
      <c r="E55" s="2259"/>
      <c r="F55" s="2259"/>
      <c r="G55" s="2259"/>
      <c r="H55" s="2259"/>
      <c r="I55" s="2286"/>
      <c r="J55" s="2256"/>
      <c r="K55" s="1363"/>
      <c r="L55" s="1364"/>
      <c r="P55" s="2257"/>
      <c r="Q55" s="2257"/>
      <c r="R55" s="356"/>
      <c r="S55" s="1278"/>
      <c r="T55" s="287" t="s">
        <v>470</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 xml:space="preserve">Добавить строку</v>
      </c>
      <c r="AY55" s="500"/>
      <c r="AZ55" s="500"/>
      <c r="BA55" s="1155">
        <v>11</v>
      </c>
    </row>
    <row r="56" s="1642" customFormat="1" ht="1.05" customHeight="1">
      <c r="A56" s="1343" t="s">
        <v>202</v>
      </c>
      <c r="B56" s="1343" t="s">
        <v>203</v>
      </c>
      <c r="C56" s="1343" t="s">
        <v>204</v>
      </c>
      <c r="D56" s="1343" t="s">
        <v>205</v>
      </c>
      <c r="E56" s="2259"/>
      <c r="F56" s="2259"/>
      <c r="G56" s="2259"/>
      <c r="H56" s="2259"/>
      <c r="I56" s="2256"/>
      <c r="J56" s="1343"/>
      <c r="K56" s="1343"/>
      <c r="L56" s="1346"/>
      <c r="M56" s="510"/>
      <c r="N56" s="510"/>
      <c r="O56" s="510"/>
      <c r="P56" s="2257"/>
      <c r="Q56" s="1331"/>
      <c r="R56" s="356"/>
      <c r="S56" s="1386"/>
      <c r="T56" s="1387" t="s">
        <v>414</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 xml:space="preserve">Добавить группу потребителей</v>
      </c>
      <c r="AY56" s="500"/>
      <c r="AZ56" s="500"/>
      <c r="BA56" s="511">
        <v>1</v>
      </c>
    </row>
    <row r="57" s="1641" customFormat="1" ht="1.05" customHeight="1">
      <c r="A57" s="1343" t="s">
        <v>202</v>
      </c>
      <c r="B57" s="1343" t="s">
        <v>203</v>
      </c>
      <c r="C57" s="1343" t="s">
        <v>204</v>
      </c>
      <c r="D57" s="1343" t="s">
        <v>205</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r="58" s="1642" customFormat="1" ht="1.05" customHeight="1">
      <c r="A58" s="1343" t="s">
        <v>202</v>
      </c>
      <c r="B58" s="1343" t="s">
        <v>203</v>
      </c>
      <c r="C58" s="1343" t="s">
        <v>204</v>
      </c>
      <c r="D58" s="1314"/>
      <c r="E58" s="2259"/>
      <c r="F58" s="2259"/>
      <c r="G58" s="2258"/>
      <c r="H58" s="1314"/>
      <c r="I58" s="1314"/>
      <c r="J58" s="1314"/>
      <c r="K58" s="1314"/>
      <c r="L58" s="1339"/>
      <c r="M58" s="1315"/>
      <c r="N58" s="1315"/>
      <c r="P58" s="1316"/>
      <c r="Q58" s="1317"/>
      <c r="R58" s="1316"/>
      <c r="S58" s="1322"/>
      <c r="T58" s="1325" t="s">
        <v>416</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 xml:space="preserve">Добавить источник для дифференциации</v>
      </c>
      <c r="AY58" s="789"/>
      <c r="AZ58" s="789"/>
      <c r="BA58" s="518">
        <v>1</v>
      </c>
    </row>
    <row r="59" s="1642" customFormat="1" ht="1.05" customHeight="1">
      <c r="A59" s="1343" t="s">
        <v>202</v>
      </c>
      <c r="B59" s="1343" t="s">
        <v>203</v>
      </c>
      <c r="C59" s="1314"/>
      <c r="D59" s="1314"/>
      <c r="E59" s="2259"/>
      <c r="F59" s="2258"/>
      <c r="G59" s="1314"/>
      <c r="H59" s="1314"/>
      <c r="I59" s="1314"/>
      <c r="J59" s="1314"/>
      <c r="K59" s="1314"/>
      <c r="L59" s="1339"/>
      <c r="M59" s="1321"/>
      <c r="N59" s="1321"/>
      <c r="P59" s="1316"/>
      <c r="Q59" s="1317"/>
      <c r="R59" s="1316"/>
      <c r="S59" s="1322"/>
      <c r="T59" s="1325" t="s">
        <v>417</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 xml:space="preserve">Добавить централизованную систему для дифференциации</v>
      </c>
      <c r="AY59" s="789"/>
      <c r="AZ59" s="789"/>
      <c r="BA59" s="518">
        <v>1</v>
      </c>
    </row>
    <row r="60" s="1642" customFormat="1" ht="1.05" customHeight="1">
      <c r="A60" s="1343" t="s">
        <v>202</v>
      </c>
      <c r="B60" s="1343"/>
      <c r="C60" s="1343"/>
      <c r="D60" s="1343"/>
      <c r="E60" s="2259"/>
      <c r="F60" s="1343"/>
      <c r="G60" s="1343"/>
      <c r="H60" s="1343"/>
      <c r="I60" s="1343"/>
      <c r="J60" s="1343"/>
      <c r="K60" s="1343"/>
      <c r="L60" s="1346"/>
      <c r="M60" s="1321"/>
      <c r="N60" s="1321"/>
      <c r="O60" s="518"/>
      <c r="P60" s="380"/>
      <c r="Q60" s="1344"/>
      <c r="R60" s="380"/>
      <c r="S60" s="1322"/>
      <c r="T60" s="1325" t="s">
        <v>418</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 xml:space="preserve">Добавить территорию для дифференциации</v>
      </c>
      <c r="AY60" s="500"/>
      <c r="AZ60" s="500"/>
      <c r="BA60" s="511">
        <v>1</v>
      </c>
    </row>
    <row r="61" s="1642" customFormat="1" ht="1.05" customHeight="1">
      <c r="A61" s="1343" t="s">
        <v>202</v>
      </c>
      <c r="B61" s="1343"/>
      <c r="C61" s="1343"/>
      <c r="D61" s="1343"/>
      <c r="E61" s="2258"/>
      <c r="F61" s="1343"/>
      <c r="G61" s="1343"/>
      <c r="H61" s="1343"/>
      <c r="I61" s="1343"/>
      <c r="J61" s="1343"/>
      <c r="K61" s="1343"/>
      <c r="L61" s="1346"/>
      <c r="M61" s="1321"/>
      <c r="N61" s="1321"/>
      <c r="O61" s="518"/>
      <c r="P61" s="380"/>
      <c r="Q61" s="1344"/>
      <c r="R61" s="380"/>
      <c r="S61" s="1322"/>
      <c r="T61" s="1325" t="s">
        <v>418</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 xml:space="preserve">Добавить территорию для дифференциации</v>
      </c>
      <c r="AY61" s="500"/>
      <c r="AZ61" s="500"/>
      <c r="BA61" s="511">
        <v>1</v>
      </c>
    </row>
    <row r="62" s="1642" customFormat="1" ht="1.05" customHeight="1">
      <c r="A62" s="1314"/>
      <c r="B62" s="1314"/>
      <c r="C62" s="1314"/>
      <c r="D62" s="1314"/>
      <c r="E62" s="1343"/>
      <c r="F62" s="1314"/>
      <c r="G62" s="1314"/>
      <c r="H62" s="1314"/>
      <c r="I62" s="1314"/>
      <c r="J62" s="1314"/>
      <c r="K62" s="1314"/>
      <c r="L62" s="1339"/>
      <c r="M62" s="1321"/>
      <c r="N62" s="1321"/>
      <c r="P62" s="1316"/>
      <c r="Q62" s="1317"/>
      <c r="R62" s="1316"/>
      <c r="S62" s="1322"/>
      <c r="T62" s="1325" t="s">
        <v>450</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 xml:space="preserve">Добавить наименование тарифа</v>
      </c>
      <c r="AY62" s="789"/>
      <c r="AZ62" s="789"/>
      <c r="BA62" s="518">
        <v>1</v>
      </c>
    </row>
    <row r="63" ht="11.5" customHeight="1">
      <c r="M63" s="1160"/>
      <c r="N63" s="1160"/>
      <c r="O63" s="537"/>
      <c r="P63" s="1160"/>
      <c r="Q63" s="1160"/>
      <c r="R63" s="1155"/>
      <c r="S63" s="1155"/>
      <c r="AV63" s="1155"/>
      <c r="AW63" s="1155"/>
      <c r="AX63" s="1155"/>
      <c r="AY63" s="1155"/>
      <c r="AZ63" s="1155"/>
      <c r="BA63" s="1155">
        <v>11</v>
      </c>
    </row>
    <row r="64" ht="19.949999999999999" customHeight="1">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r="65" ht="21" customHeight="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r="66" ht="14.65" customHeight="1">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r="67" ht="19.949999999999999" customHeight="1">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r="68" ht="16.800000000000001" customHeight="1">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r="69" ht="14.65" customHeight="1">
      <c r="O69" s="537"/>
      <c r="BA69" s="1155">
        <v>14</v>
      </c>
    </row>
    <row r="70" ht="22.5" hidden="1" customHeight="1">
      <c r="A70" s="1160" t="s">
        <v>81</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autoFilter="0" deleteColumns="0" deleteRows="0" formatColumns="0" formatRows="0" insertColumns="1" insertRows="0" sort="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5">
    <dataValidation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allowBlank="1" prompt="Для выбора выполните двойной щелчок левой клавиши мыши по соответствующей ячейке." showErrorMessage="1" showInputMessage="1"/>
    <dataValidation sqref="W65591 W131127 W196663 W262199 W327735 W393271 W458807 W524343 W589879 W655415 W720951 W786487 W852023 W917559 W983095 AO54 W11 AO65591 AO131127 AO196663 AO262199 AO327735 AO393271 AO458807 AO524343 AO589879 AO655415 AO720951 AO786487 AO852023 AO917559 AO983095 AO11 W54" allowBlank="1" promptTitle="checkPeriodRange"/>
    <dataValidation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allowBlank="1" prompt="Выберите дату из календаря (иконка справа от указанной ячейки), либо введите дату непосредственно в ячейку в формате - 'ДД.ММ.ГГГГ'." showErrorMessage="1" showInputMessage="1"/>
    <dataValidation sqref="S131128:AU131134 S196664:AU196670 S262200:AU262206 S327736:AU327742 S393272:AU393278 S458808:AU458814 S524344:AU524350 S589880:AU589886 S655416:AU655422 S720952:AU720958 S786488:AU786494 S852024:AU852030 S917560:AU917566 S983096:AU983102 S65592:AU65598" allowBlank="1"/>
    <dataValidation sqref="V42:W42" allowBlank="1" error="Выберите значение из списка" errorTitle="Ошибка"/>
  </dataValidations>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5">
        <x14:dataValidation xr:uid="{00F300EE-0083-44F5-A936-00A80004004D}" type="textLength" allowBlank="1" error="Допускается ввод не более 900 символов!" errorTitle="Ошибка" operator="lessThanOrEqual" showErrorMessage="1" showInputMessage="1">
          <x14:formula1>
            <xm:f>900</xm:f>
          </x14:formula1>
          <xm:sqref>AU65584:AU65591 AU131120:AU131127 AU196656:AU196663 AU262192:AU262199 AU327728:AU327735 AU393264:AU393271 AU458800:AU458807 AU524336:AU524343 AU589872:AU589879 AU655408:AU655415 AU720944:AU720951 AU786480:AU786487 AU852016:AU852023 AU917552:AU917559 AU983088:AU983095 T8:T11 T51:T54</xm:sqref>
        </x14:dataValidation>
        <x14:dataValidation xr:uid="{0000008E-00A7-4E7A-8AC5-0087000F0006}" type="list" allowBlank="1" error="Выберите значение из списка" errorTitle="Ошибка" showErrorMessage="1" showInputMessage="1">
          <x14:formula1>
            <xm:f>kind_of_scheme_in</xm:f>
          </x14:formula1>
          <xm:sqref>AB983092:AM983092 AB65588:AM65588 AB131124:AM131124 AB196660:AM196660 AB262196:AM262196 AB327732:AM327732 AB393268:AM393268 AB458804:AM458804 AB524340:AM524340 AB589876:AM589876 AB655412:AM655412 AB720948:AM720948 AB786484:AM786484 AB852020:AM852020 AB917556:AM917556</xm:sqref>
        </x14:dataValidation>
        <x14:dataValidation xr:uid="{000B00C4-00AD-4DF0-8701-0058000000FA}" type="list" allowBlank="1" error="Выберите значение из списка" errorTitle="Ошибка" showErrorMessage="1" showInputMessage="1">
          <x14:formula1>
            <xm:f>kind_of_heat_transfer</xm:f>
          </x14:formula1>
          <xm:sqref>T65590 T131126 T196662 T262198 T327734 T393270 T458806 T524342 T589878 T655414 T720950 T786486 T852022 T917558 T983094</xm:sqref>
        </x14:dataValidation>
        <x14:dataValidation xr:uid="{001E0019-0019-43D0-B4B5-00E900A20085}" type="list" allowBlank="1" error="Выберите значение из списка" errorTitle="Ошибка" prompt="Выберите значение из списка" showInputMessage="1">
          <x14:formula1>
            <xm:f>kind_of_cons</xm:f>
          </x14:formula1>
          <xm:sqref>V917557:AT917557 V983093:AT983093 V65589:AT65589 V131125:AT131125 V196661:AT196661 V262197:AT262197 V327733:AT327733 V393269:AT393269 V458805:AT458805 V524341:AT524341 V589877:AT589877 V655413:AT655413 V720949:AT720949 V786485:AT786485 V852021:AT852021</xm:sqref>
        </x14:dataValidation>
        <x14:dataValidation xr:uid="{004A0006-000F-4844-96CD-002100C1001D}" type="list" allowBlank="1" error="Выберите значение из списка" errorTitle="Ошибка" prompt="Выберите значение из списка" showErrorMessage="1" showInputMessage="1">
          <x14:formula1>
            <xm:f>UNIT_CONNECT_LIST</xm:f>
          </x14:formula1>
          <xm:sqref>AN42:AO42</xm:sqref>
        </x14:dataValidation>
      </x14:dataValidations>
    </ext>
  </extLs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sheetPr>
  <sheetViews>
    <sheetView showGridLines="0" topLeftCell="A1" zoomScale="90" workbookViewId="0">
      <selection activeCell="A1" sqref="A1"/>
    </sheetView>
  </sheetViews>
  <sheetFormatPr defaultColWidth="10.57421875" defaultRowHeight="14.25" customHeight="1"/>
  <cols>
    <col hidden="1" min="1" max="1" style="1366" width="10.57421875"/>
    <col customWidth="1" hidden="1" min="2" max="2" style="1366" width="11.00390625"/>
    <col hidden="1" min="3" max="3" style="1366" width="10.57421875"/>
    <col customWidth="1" hidden="1" min="4" max="4" style="1366" width="11.8515625"/>
    <col customWidth="1" hidden="1" min="5" max="5" style="1366" width="10.00390625"/>
    <col customWidth="1" hidden="1" min="6" max="6" style="1366" width="8.7109375"/>
    <col customWidth="1" hidden="1" min="7" max="7" style="1366" width="7.57421875"/>
    <col customWidth="1" hidden="1" min="8" max="8" style="1366" width="11.421875"/>
    <col customWidth="1" hidden="1" min="9" max="9" style="1366" width="14.140625"/>
    <col customWidth="1" hidden="1" min="10" max="10" style="1366" width="9.8515625"/>
    <col customWidth="1" hidden="1" min="11" max="11" style="1366" width="14.7109375"/>
    <col customWidth="1" hidden="1" min="12" max="12" style="2607" width="19.140625"/>
    <col customWidth="1" hidden="1" min="13" max="14" style="1776" width="12.28125"/>
    <col customWidth="1" hidden="1" min="15" max="15" style="1776" width="23.421875"/>
    <col customWidth="1" min="16" max="16" style="2397" width="3.00390625"/>
    <col customWidth="1" min="17" max="18" style="344" width="3.00390625"/>
    <col customWidth="1" min="19" max="19" style="2407" width="12.00390625"/>
    <col customWidth="1" min="20" max="20" style="1635" width="35.00390625"/>
    <col customWidth="1" min="21" max="21" style="1635" width="0.140625"/>
    <col customWidth="1" hidden="1" min="22" max="24" style="1635" width="24.7109375"/>
    <col customWidth="1" hidden="1" min="25" max="25" style="1635" width="11.7109375"/>
    <col customWidth="1" hidden="1" min="26" max="26" style="1635" width="3.7109375"/>
    <col customWidth="1" hidden="1" min="27" max="27" style="1635" width="11.7109375"/>
    <col customWidth="1" hidden="1" min="28" max="28" style="1635" width="8.57421875"/>
    <col customWidth="1" min="29" max="29" style="1635" width="24.7109375"/>
    <col customWidth="1" min="30" max="31" style="1635" width="24.00390625"/>
    <col customWidth="1" min="32" max="32" style="1635" width="11.00390625"/>
    <col customWidth="1" min="33" max="33" style="1635" width="3.7109375"/>
    <col customWidth="1" min="34" max="34" style="1635" width="11.00390625"/>
    <col customWidth="1" hidden="1" min="35" max="35" style="1635" width="8.57421875"/>
    <col customWidth="1" min="36" max="36" style="1635" width="4.00390625"/>
    <col customWidth="1" min="37" max="37" style="1635" width="115.00390625"/>
    <col customWidth="1" min="38" max="42" style="1642" width="10.00390625"/>
    <col hidden="1" min="43" max="43" style="1635" width="10.57421875"/>
  </cols>
  <sheetData>
    <row r="1" ht="22.5" hidden="1" customHeight="1">
      <c r="X1" s="327"/>
      <c r="Y1" s="327"/>
      <c r="AE1" s="327"/>
      <c r="AF1" s="327"/>
      <c r="AQ1" s="1155" t="s">
        <v>14</v>
      </c>
    </row>
    <row r="2" ht="23.25" hidden="1" customHeight="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127</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 xml:space="preserve">Наименование тарифа</v>
      </c>
      <c r="AO2" s="500"/>
      <c r="AP2" s="500"/>
      <c r="AQ2" s="1155">
        <v>0</v>
      </c>
    </row>
    <row r="3" ht="23.25" hidden="1" customHeight="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399</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400</v>
      </c>
      <c r="AM3" s="500"/>
      <c r="AN3" s="500" t="str">
        <f>IF(T3="","",T3)</f>
        <v xml:space="preserve">Территория действия тарифа</v>
      </c>
      <c r="AO3" s="500"/>
      <c r="AP3" s="500"/>
      <c r="AQ3" s="1155">
        <v>0</v>
      </c>
    </row>
    <row r="4" ht="23.25" hidden="1" customHeight="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483</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484</v>
      </c>
      <c r="AM4" s="500"/>
      <c r="AN4" s="500" t="str">
        <f>IF(T4="","",T4)</f>
        <v xml:space="preserve">Наименование централизованной системы холодного водоснабжения</v>
      </c>
      <c r="AO4" s="500"/>
      <c r="AP4" s="500"/>
      <c r="AQ4" s="1155">
        <v>0</v>
      </c>
    </row>
    <row r="5" ht="23.25" hidden="1" customHeight="1">
      <c r="A5" s="1363"/>
      <c r="B5" s="1363"/>
      <c r="C5" s="1363"/>
      <c r="D5" s="1363"/>
      <c r="E5" s="2259"/>
      <c r="F5" s="2259"/>
      <c r="G5" s="2259"/>
      <c r="H5" s="2259"/>
      <c r="I5" s="2256">
        <f>S4&amp;".1"</f>
      </c>
      <c r="J5" s="1363"/>
      <c r="K5" s="1363"/>
      <c r="L5" s="1364"/>
      <c r="P5" s="2257">
        <v>1</v>
      </c>
      <c r="Q5" s="1422"/>
      <c r="R5" s="356"/>
      <c r="S5" s="1425">
        <f>$I5</f>
      </c>
      <c r="T5" s="285" t="s">
        <v>485</v>
      </c>
      <c r="U5" s="300"/>
      <c r="V5" s="2350"/>
      <c r="W5" s="2351"/>
      <c r="X5" s="2351"/>
      <c r="Y5" s="2351"/>
      <c r="Z5" s="2351"/>
      <c r="AA5" s="2351"/>
      <c r="AB5" s="2352"/>
      <c r="AC5" s="2353"/>
      <c r="AD5" s="2354"/>
      <c r="AE5" s="2354"/>
      <c r="AF5" s="2354"/>
      <c r="AG5" s="2354"/>
      <c r="AH5" s="2354"/>
      <c r="AI5" s="2354"/>
      <c r="AJ5" s="2355"/>
      <c r="AK5" s="1258" t="s">
        <v>486</v>
      </c>
      <c r="AM5" s="500"/>
      <c r="AN5" s="500" t="str">
        <f>IF(T5="","",T5)</f>
        <v xml:space="preserve">Наименование признака дифференциации</v>
      </c>
      <c r="AO5" s="500"/>
      <c r="AP5" s="500"/>
      <c r="AQ5" s="1155">
        <v>0</v>
      </c>
    </row>
    <row r="6" ht="23.25" hidden="1" customHeight="1">
      <c r="A6" s="1363"/>
      <c r="B6" s="1363"/>
      <c r="C6" s="1363"/>
      <c r="D6" s="1363"/>
      <c r="E6" s="2259"/>
      <c r="F6" s="2259"/>
      <c r="G6" s="2259"/>
      <c r="H6" s="2259"/>
      <c r="I6" s="2286"/>
      <c r="J6" s="2256">
        <f>I5&amp;".1"</f>
      </c>
      <c r="K6" s="1363"/>
      <c r="L6" s="1364" t="s">
        <v>408</v>
      </c>
      <c r="P6" s="2257"/>
      <c r="Q6" s="2257">
        <v>1</v>
      </c>
      <c r="R6" s="357"/>
      <c r="S6" s="1425">
        <f>$J6</f>
      </c>
      <c r="T6" s="286" t="s">
        <v>409</v>
      </c>
      <c r="U6" s="300"/>
      <c r="V6" s="2245"/>
      <c r="W6" s="2246"/>
      <c r="X6" s="2246"/>
      <c r="Y6" s="2246"/>
      <c r="Z6" s="2246"/>
      <c r="AA6" s="2246"/>
      <c r="AB6" s="2247"/>
      <c r="AC6" s="2245"/>
      <c r="AD6" s="2246"/>
      <c r="AE6" s="2246"/>
      <c r="AF6" s="2246"/>
      <c r="AG6" s="2246"/>
      <c r="AH6" s="2246"/>
      <c r="AI6" s="2246"/>
      <c r="AJ6" s="2247"/>
      <c r="AK6" s="1307" t="s">
        <v>487</v>
      </c>
      <c r="AM6" s="500"/>
      <c r="AN6" s="500" t="str">
        <f>IF(T6="","",T6)</f>
        <v xml:space="preserve">Группа потребителей</v>
      </c>
      <c r="AO6" s="500"/>
      <c r="AP6" s="500"/>
      <c r="AQ6" s="1155">
        <v>0</v>
      </c>
    </row>
    <row r="7" ht="23.25" hidden="1" customHeight="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r="8" ht="14.25" hidden="1" customHeight="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r="9" ht="21" hidden="1" customHeight="1">
      <c r="A9" s="1363"/>
      <c r="B9" s="1363"/>
      <c r="C9" s="1363"/>
      <c r="D9" s="1363"/>
      <c r="E9" s="2259"/>
      <c r="F9" s="2259"/>
      <c r="G9" s="2259"/>
      <c r="H9" s="2259"/>
      <c r="I9" s="2286"/>
      <c r="J9" s="2256"/>
      <c r="K9" s="1363"/>
      <c r="L9" s="1364"/>
      <c r="P9" s="2257"/>
      <c r="Q9" s="2257"/>
      <c r="R9" s="356"/>
      <c r="S9" s="1278"/>
      <c r="T9" s="287" t="s">
        <v>488</v>
      </c>
      <c r="U9" s="367"/>
      <c r="V9" s="367"/>
      <c r="W9" s="367"/>
      <c r="X9" s="367"/>
      <c r="Y9" s="367"/>
      <c r="Z9" s="367"/>
      <c r="AA9" s="367"/>
      <c r="AB9" s="367"/>
      <c r="AC9" s="367"/>
      <c r="AD9" s="367"/>
      <c r="AE9" s="367"/>
      <c r="AF9" s="367"/>
      <c r="AG9" s="367"/>
      <c r="AH9" s="367"/>
      <c r="AI9" s="367"/>
      <c r="AJ9" s="367"/>
      <c r="AK9" s="1258" t="s">
        <v>489</v>
      </c>
      <c r="AM9" s="500"/>
      <c r="AN9" s="500" t="str">
        <f>IF(T9="","",T9)</f>
        <v xml:space="preserve">Добавить значение признака дифференциации</v>
      </c>
      <c r="AO9" s="500"/>
      <c r="AP9" s="500"/>
      <c r="AQ9" s="1155">
        <v>0</v>
      </c>
    </row>
    <row r="10" ht="21" hidden="1" customHeight="1">
      <c r="A10" s="1363"/>
      <c r="B10" s="1363"/>
      <c r="C10" s="1363"/>
      <c r="D10" s="1363"/>
      <c r="E10" s="2259"/>
      <c r="F10" s="2259"/>
      <c r="G10" s="2259"/>
      <c r="H10" s="2259"/>
      <c r="I10" s="2256"/>
      <c r="J10" s="1363"/>
      <c r="K10" s="1363"/>
      <c r="L10" s="1364"/>
      <c r="P10" s="2257"/>
      <c r="Q10" s="1422"/>
      <c r="R10" s="356"/>
      <c r="S10" s="1278"/>
      <c r="T10" s="365" t="s">
        <v>414</v>
      </c>
      <c r="U10" s="367"/>
      <c r="V10" s="367"/>
      <c r="W10" s="367"/>
      <c r="X10" s="367"/>
      <c r="Y10" s="367"/>
      <c r="Z10" s="367"/>
      <c r="AA10" s="367"/>
      <c r="AB10" s="366"/>
      <c r="AC10" s="367"/>
      <c r="AD10" s="367"/>
      <c r="AE10" s="367"/>
      <c r="AF10" s="367"/>
      <c r="AG10" s="367"/>
      <c r="AH10" s="367"/>
      <c r="AI10" s="366"/>
      <c r="AJ10" s="367"/>
      <c r="AK10" s="1440"/>
      <c r="AM10" s="500"/>
      <c r="AN10" s="500" t="str">
        <f>IF(T10="","",T10)</f>
        <v xml:space="preserve">Добавить группу потребителей</v>
      </c>
      <c r="AO10" s="500"/>
      <c r="AP10" s="500"/>
      <c r="AQ10" s="1155">
        <v>0</v>
      </c>
    </row>
    <row r="11" ht="14.25" hidden="1" customHeight="1">
      <c r="A11" s="1363"/>
      <c r="B11" s="1363"/>
      <c r="C11" s="1363"/>
      <c r="D11" s="1363"/>
      <c r="E11" s="2259"/>
      <c r="F11" s="2259"/>
      <c r="G11" s="2259"/>
      <c r="H11" s="2258"/>
      <c r="I11" s="1363"/>
      <c r="J11" s="1363"/>
      <c r="K11" s="1363"/>
      <c r="L11" s="1364"/>
      <c r="M11" s="1365"/>
      <c r="N11" s="1365"/>
      <c r="O11" s="537"/>
      <c r="P11" s="360"/>
      <c r="Q11" s="375"/>
      <c r="R11" s="355"/>
      <c r="S11" s="1278"/>
      <c r="T11" s="372" t="s">
        <v>490</v>
      </c>
      <c r="U11" s="367"/>
      <c r="V11" s="367"/>
      <c r="W11" s="367"/>
      <c r="X11" s="367"/>
      <c r="Y11" s="367"/>
      <c r="Z11" s="367"/>
      <c r="AA11" s="367"/>
      <c r="AB11" s="366"/>
      <c r="AC11" s="367"/>
      <c r="AD11" s="367"/>
      <c r="AE11" s="367"/>
      <c r="AF11" s="367"/>
      <c r="AG11" s="367"/>
      <c r="AH11" s="367"/>
      <c r="AI11" s="366"/>
      <c r="AJ11" s="367"/>
      <c r="AK11" s="303"/>
      <c r="AM11" s="500"/>
      <c r="AN11" s="500" t="str">
        <f>IF(T11="","",T11)</f>
        <v xml:space="preserve">Добавить наименование признака дифференциации</v>
      </c>
      <c r="AO11" s="500"/>
      <c r="AP11" s="500"/>
      <c r="AQ11" s="1155">
        <v>0</v>
      </c>
    </row>
    <row r="12" s="1642" customFormat="1" ht="14.25" hidden="1" customHeight="1">
      <c r="A12" s="1343"/>
      <c r="B12" s="1343"/>
      <c r="C12" s="1314"/>
      <c r="D12" s="1314"/>
      <c r="E12" s="2259"/>
      <c r="F12" s="2258"/>
      <c r="G12" s="1314"/>
      <c r="H12" s="1314"/>
      <c r="I12" s="1314"/>
      <c r="J12" s="1314"/>
      <c r="K12" s="1314"/>
      <c r="L12" s="1426"/>
      <c r="M12" s="1321"/>
      <c r="N12" s="1321"/>
      <c r="P12" s="1316"/>
      <c r="Q12" s="1317"/>
      <c r="R12" s="1316"/>
      <c r="S12" s="1322"/>
      <c r="T12" s="1325" t="s">
        <v>417</v>
      </c>
      <c r="U12" s="1324"/>
      <c r="V12" s="1324"/>
      <c r="W12" s="1324"/>
      <c r="X12" s="1324"/>
      <c r="Y12" s="1324"/>
      <c r="Z12" s="1324"/>
      <c r="AA12" s="1324"/>
      <c r="AB12" s="1324"/>
      <c r="AC12" s="1324"/>
      <c r="AD12" s="1324"/>
      <c r="AE12" s="1324"/>
      <c r="AF12" s="1324"/>
      <c r="AG12" s="1324"/>
      <c r="AH12" s="1324"/>
      <c r="AI12" s="1324"/>
      <c r="AJ12" s="1324"/>
      <c r="AK12" s="1324"/>
      <c r="AM12" s="789"/>
      <c r="AN12" s="789" t="str">
        <f>IF(T12="","",T12)</f>
        <v xml:space="preserve">Добавить централизованную систему для дифференциации</v>
      </c>
      <c r="AO12" s="789"/>
      <c r="AP12" s="789"/>
      <c r="AQ12" s="518">
        <v>0</v>
      </c>
    </row>
    <row r="13" s="1642" customFormat="1" ht="14.25" hidden="1" customHeight="1">
      <c r="A13" s="1343"/>
      <c r="B13" s="1343"/>
      <c r="C13" s="1343"/>
      <c r="D13" s="1343"/>
      <c r="E13" s="2258"/>
      <c r="F13" s="1343"/>
      <c r="G13" s="1343"/>
      <c r="H13" s="1343"/>
      <c r="I13" s="1343"/>
      <c r="J13" s="1343"/>
      <c r="K13" s="1343"/>
      <c r="L13" s="1346"/>
      <c r="M13" s="1321"/>
      <c r="N13" s="1321"/>
      <c r="O13" s="518"/>
      <c r="P13" s="380"/>
      <c r="Q13" s="1344"/>
      <c r="R13" s="380"/>
      <c r="S13" s="1322"/>
      <c r="T13" s="1325" t="s">
        <v>418</v>
      </c>
      <c r="U13" s="1324"/>
      <c r="V13" s="1324"/>
      <c r="W13" s="1324"/>
      <c r="X13" s="1324"/>
      <c r="Y13" s="1324"/>
      <c r="Z13" s="1324"/>
      <c r="AA13" s="1324"/>
      <c r="AB13" s="1324"/>
      <c r="AC13" s="1324"/>
      <c r="AD13" s="1324"/>
      <c r="AE13" s="1324"/>
      <c r="AF13" s="1324"/>
      <c r="AG13" s="1324"/>
      <c r="AH13" s="1324"/>
      <c r="AI13" s="1324"/>
      <c r="AJ13" s="1324"/>
      <c r="AK13" s="1324"/>
      <c r="AM13" s="500"/>
      <c r="AN13" s="500" t="str">
        <f>IF(T13="","",T13)</f>
        <v xml:space="preserve">Добавить территорию для дифференциации</v>
      </c>
      <c r="AO13" s="500"/>
      <c r="AP13" s="500"/>
      <c r="AQ13" s="511">
        <v>0</v>
      </c>
    </row>
    <row r="14" ht="14.25" hidden="1" customHeight="1">
      <c r="AB14" s="327"/>
      <c r="AI14" s="327"/>
      <c r="AQ14" s="1155">
        <v>0</v>
      </c>
    </row>
    <row r="15" ht="14.25" hidden="1" customHeight="1">
      <c r="AC15" s="1360"/>
      <c r="AD15" s="1360"/>
      <c r="AE15" s="1361"/>
      <c r="AF15" s="2267"/>
      <c r="AG15" s="2268" t="s">
        <v>65</v>
      </c>
      <c r="AH15" s="2267"/>
      <c r="AI15" s="2268" t="s">
        <v>65</v>
      </c>
      <c r="AQ15" s="1155">
        <v>0</v>
      </c>
    </row>
    <row r="16" ht="14.25" hidden="1" customHeight="1">
      <c r="AC16" s="1360"/>
      <c r="AD16" s="1360"/>
      <c r="AE16" s="328" t="str">
        <f>AF15&amp;"-"&amp;AH15</f>
        <v>-</v>
      </c>
      <c r="AF16" s="2268"/>
      <c r="AG16" s="2268"/>
      <c r="AH16" s="2268"/>
      <c r="AI16" s="2268"/>
      <c r="AQ16" s="1155">
        <v>0</v>
      </c>
    </row>
    <row r="17" ht="14.25" hidden="1" customHeight="1">
      <c r="AI17" s="327"/>
      <c r="AQ17" s="1155">
        <v>0</v>
      </c>
    </row>
    <row r="18" s="1366" customFormat="1" ht="22.5" hidden="1" customHeight="1">
      <c r="L18" s="1421"/>
      <c r="M18" s="1362"/>
      <c r="N18" s="1362"/>
      <c r="O18" s="1367" t="s">
        <v>419</v>
      </c>
      <c r="P18" s="1362"/>
      <c r="Q18" s="1371"/>
      <c r="R18" s="1371"/>
      <c r="S18" s="729"/>
      <c r="Y18" s="1367"/>
      <c r="AA18" s="1367"/>
      <c r="AB18" s="1366"/>
      <c r="AF18" s="1367"/>
      <c r="AH18" s="1367"/>
      <c r="AI18" s="1366"/>
      <c r="AL18" s="511"/>
      <c r="AM18" s="511"/>
      <c r="AN18" s="511"/>
      <c r="AO18" s="511"/>
      <c r="AP18" s="511"/>
      <c r="AQ18" s="1160">
        <v>0</v>
      </c>
    </row>
    <row r="19" s="1366" customFormat="1" ht="14.25" hidden="1" customHeight="1">
      <c r="L19" s="1421"/>
      <c r="M19" s="1362"/>
      <c r="N19" s="1362"/>
      <c r="O19" s="1362"/>
      <c r="P19" s="1362"/>
      <c r="Q19" s="1371"/>
      <c r="R19" s="1371"/>
      <c r="S19" s="729"/>
      <c r="AB19" s="1366"/>
      <c r="AI19" s="1366"/>
      <c r="AL19" s="511"/>
      <c r="AM19" s="511"/>
      <c r="AN19" s="511"/>
      <c r="AO19" s="511"/>
      <c r="AP19" s="511"/>
      <c r="AQ19" s="1160">
        <v>0</v>
      </c>
    </row>
    <row r="20" s="1366" customFormat="1" ht="12" hidden="1" customHeight="1">
      <c r="L20" s="1421"/>
      <c r="M20" s="1362"/>
      <c r="N20" s="1362"/>
      <c r="O20" s="1364" t="s">
        <v>420</v>
      </c>
      <c r="P20" s="1362"/>
      <c r="Q20" s="1442"/>
      <c r="R20" s="1442"/>
      <c r="S20" s="729"/>
      <c r="T20" s="1160" t="s">
        <v>421</v>
      </c>
      <c r="Z20" s="186" t="s">
        <v>422</v>
      </c>
      <c r="AB20" s="186" t="s">
        <v>423</v>
      </c>
      <c r="AC20" s="1160" t="s">
        <v>421</v>
      </c>
      <c r="AG20" s="186" t="s">
        <v>424</v>
      </c>
      <c r="AI20" s="186" t="s">
        <v>423</v>
      </c>
      <c r="AQ20" s="1160">
        <v>0</v>
      </c>
    </row>
    <row r="21" ht="14.25" hidden="1" customHeight="1">
      <c r="O21" s="1364"/>
      <c r="AQ21" s="1155">
        <v>0</v>
      </c>
    </row>
    <row r="22" ht="14.25" hidden="1" customHeight="1">
      <c r="O22" s="1364"/>
      <c r="AQ22" s="1155">
        <v>0</v>
      </c>
    </row>
    <row r="23" ht="14.65" customHeight="1">
      <c r="Q23" s="376"/>
      <c r="R23" s="376"/>
      <c r="S23" s="1275"/>
      <c r="T23" s="363"/>
      <c r="U23" s="363"/>
      <c r="V23" s="509"/>
      <c r="W23" s="509"/>
      <c r="X23" s="509"/>
      <c r="Y23" s="509"/>
      <c r="Z23" s="509"/>
      <c r="AA23" s="509"/>
      <c r="AB23" s="509"/>
      <c r="AC23" s="509"/>
      <c r="AD23" s="509"/>
      <c r="AE23" s="509"/>
      <c r="AF23" s="509"/>
      <c r="AG23" s="509"/>
      <c r="AH23" s="509"/>
      <c r="AI23" s="509"/>
      <c r="AQ23" s="1155">
        <v>14</v>
      </c>
    </row>
    <row r="24" ht="14.65" customHeight="1">
      <c r="Q24" s="376"/>
      <c r="R24" s="376"/>
      <c r="S24" s="2248" t="str">
        <f>IF(TEMPLATE_GROUP="P",PT_P_FORM_COLDVSNA_4_NAME_FORM,PT_R_FORM_COLDVSNA_16_NAME_FORM)</f>
        <v xml:space="preserve">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r="25" ht="14.65" customHeight="1">
      <c r="Q25" s="376"/>
      <c r="R25" s="376"/>
      <c r="S25" s="2249" t="str">
        <f>IF(org=0,"Не определено",org)</f>
        <v xml:space="preserve">филиал ПАО "ОГК-2" - Рязанская ГРЭС</v>
      </c>
      <c r="T25" s="2249"/>
      <c r="U25" s="2249"/>
      <c r="V25" s="2249"/>
      <c r="W25" s="2249"/>
      <c r="X25" s="2249"/>
      <c r="Y25" s="2249"/>
      <c r="Z25" s="2249"/>
      <c r="AA25" s="2249"/>
      <c r="AB25" s="2249"/>
      <c r="AC25" s="2249"/>
      <c r="AD25" s="2249"/>
      <c r="AE25" s="2249"/>
      <c r="AF25" s="2249"/>
      <c r="AG25" s="2249"/>
      <c r="AH25" s="2249"/>
      <c r="AI25" s="1243"/>
      <c r="AQ25" s="1155">
        <v>14</v>
      </c>
    </row>
    <row r="26" ht="14.25" hidden="1" customHeight="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r="27" s="1853" customFormat="1" ht="25.5" hidden="1" customHeight="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r="28" s="1853" customFormat="1" ht="18.75" hidden="1" customHeight="1">
      <c r="A28" s="1368"/>
      <c r="B28" s="1368"/>
      <c r="C28" s="1368"/>
      <c r="D28" s="1368"/>
      <c r="E28" s="1368"/>
      <c r="F28" s="1368"/>
      <c r="G28" s="1368"/>
      <c r="H28" s="1368"/>
      <c r="I28" s="1368"/>
      <c r="J28" s="1368"/>
      <c r="K28" s="1368"/>
      <c r="L28" s="1369"/>
      <c r="M28" s="1368"/>
      <c r="N28" s="1368"/>
      <c r="O28" s="1368"/>
      <c r="S28" s="2250" t="s">
        <v>425</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r="29" s="1853" customFormat="1" ht="18.75" hidden="1" customHeight="1">
      <c r="A29" s="1368"/>
      <c r="B29" s="1368"/>
      <c r="C29" s="1368"/>
      <c r="D29" s="1368"/>
      <c r="E29" s="1368"/>
      <c r="F29" s="1368"/>
      <c r="G29" s="1368"/>
      <c r="H29" s="1368"/>
      <c r="I29" s="1368"/>
      <c r="J29" s="1368"/>
      <c r="K29" s="1368"/>
      <c r="L29" s="1369"/>
      <c r="M29" s="1368"/>
      <c r="N29" s="1368"/>
      <c r="O29" s="1368"/>
      <c r="S29" s="2250" t="s">
        <v>426</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r="30" s="1853" customFormat="1" ht="18.75" hidden="1" customHeight="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r="31" ht="14.25" hidden="1" customHeight="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r="32" s="1853" customFormat="1" ht="18.75" hidden="1" customHeight="1">
      <c r="A32" s="1368"/>
      <c r="B32" s="1368"/>
      <c r="C32" s="1368"/>
      <c r="D32" s="1368"/>
      <c r="E32" s="1368"/>
      <c r="F32" s="1368"/>
      <c r="G32" s="1368"/>
      <c r="H32" s="1368"/>
      <c r="I32" s="1368"/>
      <c r="J32" s="1368"/>
      <c r="K32" s="1368"/>
      <c r="L32" s="1369"/>
      <c r="M32" s="1368"/>
      <c r="N32" s="1368"/>
      <c r="O32" s="1368"/>
      <c r="S32" s="2250" t="s">
        <v>427</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r="33" s="1853" customFormat="1" ht="18.75" hidden="1" customHeight="1">
      <c r="A33" s="1368"/>
      <c r="B33" s="1368"/>
      <c r="C33" s="1368"/>
      <c r="D33" s="1368"/>
      <c r="E33" s="1368"/>
      <c r="F33" s="1368"/>
      <c r="G33" s="1368"/>
      <c r="H33" s="1368"/>
      <c r="I33" s="1368"/>
      <c r="J33" s="1368"/>
      <c r="K33" s="1368"/>
      <c r="L33" s="1369"/>
      <c r="M33" s="1368"/>
      <c r="N33" s="1368"/>
      <c r="O33" s="1368"/>
      <c r="S33" s="2250" t="s">
        <v>428</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r="34" s="1853" customFormat="1" ht="1.05" customHeight="1">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429</v>
      </c>
      <c r="AC34" s="326"/>
      <c r="AD34" s="326"/>
      <c r="AE34" s="326"/>
      <c r="AF34" s="326"/>
      <c r="AG34" s="326"/>
      <c r="AH34" s="326"/>
      <c r="AI34" s="278" t="s">
        <v>429</v>
      </c>
      <c r="AL34" s="368"/>
      <c r="AM34" s="368"/>
      <c r="AN34" s="368"/>
      <c r="AO34" s="368"/>
      <c r="AP34" s="368"/>
      <c r="AQ34" s="418">
        <v>1</v>
      </c>
    </row>
    <row r="35" ht="14.65" customHeight="1">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r="36" ht="14.65" customHeight="1">
      <c r="Q36" s="376"/>
      <c r="R36" s="376"/>
      <c r="S36" s="2127" t="s">
        <v>302</v>
      </c>
      <c r="T36" s="2127"/>
      <c r="U36" s="2127"/>
      <c r="V36" s="2127"/>
      <c r="W36" s="2127"/>
      <c r="X36" s="2127"/>
      <c r="Y36" s="2127"/>
      <c r="Z36" s="2127"/>
      <c r="AA36" s="2127"/>
      <c r="AB36" s="2127"/>
      <c r="AC36" s="2127"/>
      <c r="AD36" s="2127"/>
      <c r="AE36" s="2127"/>
      <c r="AF36" s="2127"/>
      <c r="AG36" s="2127"/>
      <c r="AH36" s="2127"/>
      <c r="AI36" s="2127"/>
      <c r="AJ36" s="2127"/>
      <c r="AK36" s="2127" t="s">
        <v>303</v>
      </c>
      <c r="AQ36" s="1155">
        <v>14</v>
      </c>
    </row>
    <row r="37" ht="14.65" customHeight="1">
      <c r="Q37" s="376"/>
      <c r="R37" s="376"/>
      <c r="S37" s="2273" t="s">
        <v>87</v>
      </c>
      <c r="T37" s="2209" t="s">
        <v>430</v>
      </c>
      <c r="U37" s="301"/>
      <c r="V37" s="2274" t="s">
        <v>431</v>
      </c>
      <c r="W37" s="2275"/>
      <c r="X37" s="2275"/>
      <c r="Y37" s="2275"/>
      <c r="Z37" s="2275"/>
      <c r="AA37" s="2276"/>
      <c r="AB37" s="2277" t="s">
        <v>432</v>
      </c>
      <c r="AC37" s="2274" t="s">
        <v>431</v>
      </c>
      <c r="AD37" s="2275"/>
      <c r="AE37" s="2275"/>
      <c r="AF37" s="2275"/>
      <c r="AG37" s="2275"/>
      <c r="AH37" s="2276"/>
      <c r="AI37" s="2277" t="s">
        <v>433</v>
      </c>
      <c r="AJ37" s="2280" t="s">
        <v>434</v>
      </c>
      <c r="AK37" s="2127"/>
      <c r="AQ37" s="1155">
        <v>14</v>
      </c>
    </row>
    <row r="38" ht="35.649999999999999" customHeight="1">
      <c r="Q38" s="376"/>
      <c r="R38" s="376"/>
      <c r="S38" s="2273"/>
      <c r="T38" s="2209"/>
      <c r="U38" s="1031"/>
      <c r="V38" s="1352" t="s">
        <v>491</v>
      </c>
      <c r="W38" s="2262" t="s">
        <v>437</v>
      </c>
      <c r="X38" s="2263"/>
      <c r="Y38" s="2262" t="s">
        <v>438</v>
      </c>
      <c r="Z38" s="2269"/>
      <c r="AA38" s="2263"/>
      <c r="AB38" s="2278"/>
      <c r="AC38" s="1352" t="s">
        <v>491</v>
      </c>
      <c r="AD38" s="2262" t="s">
        <v>437</v>
      </c>
      <c r="AE38" s="2263"/>
      <c r="AF38" s="2262" t="s">
        <v>438</v>
      </c>
      <c r="AG38" s="2269"/>
      <c r="AH38" s="2263"/>
      <c r="AI38" s="2278"/>
      <c r="AJ38" s="2281"/>
      <c r="AK38" s="2127"/>
      <c r="AQ38" s="1155">
        <v>34</v>
      </c>
    </row>
    <row r="39" ht="35.649999999999999" customHeight="1">
      <c r="A39" s="1370"/>
      <c r="B39" s="1370" t="s">
        <v>139</v>
      </c>
      <c r="C39" s="1370" t="s">
        <v>140</v>
      </c>
      <c r="D39" s="1370" t="s">
        <v>141</v>
      </c>
      <c r="E39" s="1364" t="s">
        <v>439</v>
      </c>
      <c r="F39" s="1364" t="s">
        <v>440</v>
      </c>
      <c r="G39" s="1364" t="s">
        <v>441</v>
      </c>
      <c r="H39" s="1364"/>
      <c r="I39" s="1364" t="s">
        <v>492</v>
      </c>
      <c r="J39" s="1364" t="s">
        <v>444</v>
      </c>
      <c r="K39" s="1364" t="s">
        <v>493</v>
      </c>
      <c r="L39" s="1364" t="s">
        <v>420</v>
      </c>
      <c r="Q39" s="376"/>
      <c r="R39" s="376"/>
      <c r="S39" s="2273"/>
      <c r="T39" s="2209"/>
      <c r="U39" s="302"/>
      <c r="V39" s="1352" t="s">
        <v>494</v>
      </c>
      <c r="W39" s="1222" t="s">
        <v>495</v>
      </c>
      <c r="X39" s="1222" t="s">
        <v>496</v>
      </c>
      <c r="Y39" s="1357" t="s">
        <v>448</v>
      </c>
      <c r="Z39" s="2270" t="s">
        <v>449</v>
      </c>
      <c r="AA39" s="2271"/>
      <c r="AB39" s="2279"/>
      <c r="AC39" s="1352" t="s">
        <v>494</v>
      </c>
      <c r="AD39" s="1222" t="s">
        <v>495</v>
      </c>
      <c r="AE39" s="1222" t="s">
        <v>496</v>
      </c>
      <c r="AF39" s="1357" t="s">
        <v>448</v>
      </c>
      <c r="AG39" s="2270" t="s">
        <v>449</v>
      </c>
      <c r="AH39" s="2271"/>
      <c r="AI39" s="2279"/>
      <c r="AJ39" s="2282"/>
      <c r="AK39" s="2127"/>
      <c r="AQ39" s="1155">
        <v>34</v>
      </c>
    </row>
    <row r="40" s="1641" customFormat="1" ht="11.25" hidden="1" customHeight="1">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r="41" ht="24" customHeight="1">
      <c r="A41" s="1363" t="s">
        <v>228</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127</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 xml:space="preserve">Наименование тарифа</v>
      </c>
      <c r="AO41" s="500"/>
      <c r="AP41" s="500"/>
      <c r="AQ41" s="1155">
        <v>23</v>
      </c>
    </row>
    <row r="42" ht="24" customHeight="1">
      <c r="A42" s="1363" t="s">
        <v>228</v>
      </c>
      <c r="B42" s="1363" t="s">
        <v>229</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399</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400</v>
      </c>
      <c r="AM42" s="500"/>
      <c r="AN42" s="500" t="str">
        <f>IF(T42="","",T42)</f>
        <v xml:space="preserve">Территория действия тарифа</v>
      </c>
      <c r="AO42" s="500"/>
      <c r="AP42" s="500"/>
      <c r="AQ42" s="1155">
        <v>23</v>
      </c>
    </row>
    <row r="43" ht="24" customHeight="1">
      <c r="A43" s="1363" t="s">
        <v>228</v>
      </c>
      <c r="B43" s="1363" t="s">
        <v>229</v>
      </c>
      <c r="C43" s="1363" t="s">
        <v>230</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483</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484</v>
      </c>
      <c r="AM43" s="500"/>
      <c r="AN43" s="500" t="str">
        <f>IF(T43="","",T43)</f>
        <v xml:space="preserve">Наименование централизованной системы холодного водоснабжения</v>
      </c>
      <c r="AO43" s="500"/>
      <c r="AP43" s="500"/>
      <c r="AQ43" s="1155">
        <v>23</v>
      </c>
    </row>
    <row r="44" ht="24" customHeight="1">
      <c r="A44" s="1363" t="s">
        <v>228</v>
      </c>
      <c r="B44" s="1363" t="s">
        <v>229</v>
      </c>
      <c r="C44" s="1363" t="s">
        <v>230</v>
      </c>
      <c r="D44" s="1363" t="s">
        <v>497</v>
      </c>
      <c r="E44" s="2259"/>
      <c r="F44" s="2259"/>
      <c r="G44" s="2259"/>
      <c r="H44" s="2259"/>
      <c r="I44" s="2256" t="str">
        <f>S43&amp;".1"</f>
        <v>...1</v>
      </c>
      <c r="J44" s="1363"/>
      <c r="K44" s="1363"/>
      <c r="L44" s="1364"/>
      <c r="P44" s="2257">
        <v>1</v>
      </c>
      <c r="Q44" s="1354"/>
      <c r="R44" s="356"/>
      <c r="S44" s="1358" t="str">
        <f>$I44</f>
        <v>...1</v>
      </c>
      <c r="T44" s="285" t="s">
        <v>485</v>
      </c>
      <c r="U44" s="300"/>
      <c r="V44" s="2350"/>
      <c r="W44" s="2351"/>
      <c r="X44" s="2351"/>
      <c r="Y44" s="2351"/>
      <c r="Z44" s="2351"/>
      <c r="AA44" s="2351"/>
      <c r="AB44" s="2352"/>
      <c r="AC44" s="2353"/>
      <c r="AD44" s="2354"/>
      <c r="AE44" s="2354"/>
      <c r="AF44" s="2354"/>
      <c r="AG44" s="2354"/>
      <c r="AH44" s="2354"/>
      <c r="AI44" s="2354"/>
      <c r="AJ44" s="2355"/>
      <c r="AK44" s="1258" t="s">
        <v>486</v>
      </c>
      <c r="AM44" s="500"/>
      <c r="AN44" s="500" t="str">
        <f>IF(T44="","",T44)</f>
        <v xml:space="preserve">Наименование признака дифференциации</v>
      </c>
      <c r="AO44" s="500"/>
      <c r="AP44" s="500"/>
      <c r="AQ44" s="1155">
        <v>23</v>
      </c>
    </row>
    <row r="45" ht="24" customHeight="1">
      <c r="A45" s="1363" t="s">
        <v>228</v>
      </c>
      <c r="B45" s="1363" t="s">
        <v>229</v>
      </c>
      <c r="C45" s="1363" t="s">
        <v>230</v>
      </c>
      <c r="D45" s="1363" t="s">
        <v>497</v>
      </c>
      <c r="E45" s="2259"/>
      <c r="F45" s="2259"/>
      <c r="G45" s="2259"/>
      <c r="H45" s="2259"/>
      <c r="I45" s="2286"/>
      <c r="J45" s="2256" t="str">
        <f>I44&amp;".1"</f>
        <v>...1.1</v>
      </c>
      <c r="K45" s="1363"/>
      <c r="L45" s="1364" t="s">
        <v>408</v>
      </c>
      <c r="P45" s="2257"/>
      <c r="Q45" s="2257">
        <v>1</v>
      </c>
      <c r="R45" s="357"/>
      <c r="S45" s="1358" t="str">
        <f>$J45</f>
        <v>...1.1</v>
      </c>
      <c r="T45" s="286" t="s">
        <v>409</v>
      </c>
      <c r="U45" s="300"/>
      <c r="V45" s="2245"/>
      <c r="W45" s="2246"/>
      <c r="X45" s="2246"/>
      <c r="Y45" s="2246"/>
      <c r="Z45" s="2246"/>
      <c r="AA45" s="2246"/>
      <c r="AB45" s="2247"/>
      <c r="AC45" s="2245"/>
      <c r="AD45" s="2246"/>
      <c r="AE45" s="2246"/>
      <c r="AF45" s="2246"/>
      <c r="AG45" s="2246"/>
      <c r="AH45" s="2246"/>
      <c r="AI45" s="2246"/>
      <c r="AJ45" s="2247"/>
      <c r="AK45" s="1307" t="s">
        <v>487</v>
      </c>
      <c r="AM45" s="500"/>
      <c r="AN45" s="500" t="str">
        <f>IF(T45="","",T45)</f>
        <v xml:space="preserve">Группа потребителей</v>
      </c>
      <c r="AO45" s="500"/>
      <c r="AP45" s="500"/>
      <c r="AQ45" s="1155">
        <v>23</v>
      </c>
    </row>
    <row r="46" ht="24" customHeight="1">
      <c r="A46" s="1363" t="s">
        <v>228</v>
      </c>
      <c r="B46" s="1363" t="s">
        <v>229</v>
      </c>
      <c r="C46" s="1363" t="s">
        <v>230</v>
      </c>
      <c r="D46" s="1363" t="s">
        <v>497</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r="47" ht="0" customHeight="1">
      <c r="A47" s="1363" t="s">
        <v>228</v>
      </c>
      <c r="B47" s="1363" t="s">
        <v>229</v>
      </c>
      <c r="C47" s="1363" t="s">
        <v>230</v>
      </c>
      <c r="D47" s="1363" t="s">
        <v>497</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r="48" ht="21" customHeight="1">
      <c r="A48" s="1363" t="s">
        <v>228</v>
      </c>
      <c r="B48" s="1363" t="s">
        <v>229</v>
      </c>
      <c r="C48" s="1363" t="s">
        <v>230</v>
      </c>
      <c r="D48" s="1363" t="s">
        <v>497</v>
      </c>
      <c r="E48" s="2259"/>
      <c r="F48" s="2259"/>
      <c r="G48" s="2259"/>
      <c r="H48" s="2259"/>
      <c r="I48" s="2286"/>
      <c r="J48" s="2256"/>
      <c r="K48" s="1363"/>
      <c r="L48" s="1364"/>
      <c r="P48" s="2257"/>
      <c r="Q48" s="2257"/>
      <c r="R48" s="356"/>
      <c r="S48" s="1278"/>
      <c r="T48" s="287" t="s">
        <v>488</v>
      </c>
      <c r="U48" s="367"/>
      <c r="V48" s="367"/>
      <c r="W48" s="367"/>
      <c r="X48" s="367"/>
      <c r="Y48" s="367"/>
      <c r="Z48" s="367"/>
      <c r="AA48" s="367"/>
      <c r="AB48" s="367"/>
      <c r="AC48" s="367"/>
      <c r="AD48" s="367"/>
      <c r="AE48" s="367"/>
      <c r="AF48" s="367"/>
      <c r="AG48" s="367"/>
      <c r="AH48" s="367"/>
      <c r="AI48" s="367"/>
      <c r="AJ48" s="367"/>
      <c r="AK48" s="1258" t="s">
        <v>489</v>
      </c>
      <c r="AM48" s="500"/>
      <c r="AN48" s="500" t="str">
        <f>IF(T48="","",T48)</f>
        <v xml:space="preserve">Добавить значение признака дифференциации</v>
      </c>
      <c r="AO48" s="500"/>
      <c r="AP48" s="500"/>
      <c r="AQ48" s="1155">
        <v>20</v>
      </c>
    </row>
    <row r="49" ht="22" customHeight="1">
      <c r="A49" s="1363" t="s">
        <v>228</v>
      </c>
      <c r="B49" s="1363" t="s">
        <v>229</v>
      </c>
      <c r="C49" s="1363" t="s">
        <v>230</v>
      </c>
      <c r="D49" s="1363" t="s">
        <v>497</v>
      </c>
      <c r="E49" s="2259"/>
      <c r="F49" s="2259"/>
      <c r="G49" s="2259"/>
      <c r="H49" s="2259"/>
      <c r="I49" s="2256"/>
      <c r="J49" s="1363"/>
      <c r="K49" s="1363"/>
      <c r="L49" s="1364"/>
      <c r="P49" s="2257"/>
      <c r="Q49" s="1354"/>
      <c r="R49" s="356"/>
      <c r="S49" s="1278"/>
      <c r="T49" s="365" t="s">
        <v>414</v>
      </c>
      <c r="U49" s="367"/>
      <c r="V49" s="367"/>
      <c r="W49" s="367"/>
      <c r="X49" s="367"/>
      <c r="Y49" s="367"/>
      <c r="Z49" s="367"/>
      <c r="AA49" s="367"/>
      <c r="AB49" s="366"/>
      <c r="AC49" s="367"/>
      <c r="AD49" s="367"/>
      <c r="AE49" s="367"/>
      <c r="AF49" s="367"/>
      <c r="AG49" s="367"/>
      <c r="AH49" s="367"/>
      <c r="AI49" s="366"/>
      <c r="AJ49" s="367"/>
      <c r="AK49" s="1440"/>
      <c r="AM49" s="500"/>
      <c r="AN49" s="500" t="str">
        <f>IF(T49="","",T49)</f>
        <v xml:space="preserve">Добавить группу потребителей</v>
      </c>
      <c r="AO49" s="500"/>
      <c r="AP49" s="500"/>
      <c r="AQ49" s="1155">
        <v>21</v>
      </c>
    </row>
    <row r="50" ht="22" customHeight="1">
      <c r="A50" s="1363" t="s">
        <v>228</v>
      </c>
      <c r="B50" s="1363" t="s">
        <v>229</v>
      </c>
      <c r="C50" s="1363" t="s">
        <v>230</v>
      </c>
      <c r="D50" s="1363" t="s">
        <v>497</v>
      </c>
      <c r="E50" s="2259"/>
      <c r="F50" s="2259"/>
      <c r="G50" s="2259"/>
      <c r="H50" s="2258"/>
      <c r="I50" s="1363"/>
      <c r="J50" s="1363"/>
      <c r="K50" s="1363"/>
      <c r="L50" s="1364"/>
      <c r="M50" s="1365"/>
      <c r="N50" s="1365"/>
      <c r="O50" s="537"/>
      <c r="P50" s="360"/>
      <c r="Q50" s="375"/>
      <c r="R50" s="355"/>
      <c r="S50" s="1278"/>
      <c r="T50" s="372" t="s">
        <v>490</v>
      </c>
      <c r="U50" s="367"/>
      <c r="V50" s="367"/>
      <c r="W50" s="367"/>
      <c r="X50" s="367"/>
      <c r="Y50" s="367"/>
      <c r="Z50" s="367"/>
      <c r="AA50" s="367"/>
      <c r="AB50" s="366"/>
      <c r="AC50" s="367"/>
      <c r="AD50" s="367"/>
      <c r="AE50" s="367"/>
      <c r="AF50" s="367"/>
      <c r="AG50" s="367"/>
      <c r="AH50" s="367"/>
      <c r="AI50" s="366"/>
      <c r="AJ50" s="367"/>
      <c r="AK50" s="303"/>
      <c r="AM50" s="500"/>
      <c r="AN50" s="500" t="str">
        <f>IF(T50="","",T50)</f>
        <v xml:space="preserve">Добавить наименование признака дифференциации</v>
      </c>
      <c r="AO50" s="500"/>
      <c r="AP50" s="500"/>
      <c r="AQ50" s="1155">
        <v>21</v>
      </c>
    </row>
    <row r="51" s="1642" customFormat="1" ht="0" customHeight="1">
      <c r="A51" s="1343" t="s">
        <v>228</v>
      </c>
      <c r="B51" s="1343" t="s">
        <v>229</v>
      </c>
      <c r="C51" s="1314"/>
      <c r="D51" s="1314"/>
      <c r="E51" s="2259"/>
      <c r="F51" s="2258"/>
      <c r="G51" s="1314"/>
      <c r="H51" s="1314"/>
      <c r="I51" s="1314"/>
      <c r="J51" s="1314"/>
      <c r="K51" s="1314"/>
      <c r="L51" s="1426"/>
      <c r="M51" s="1321"/>
      <c r="N51" s="1321"/>
      <c r="P51" s="1316"/>
      <c r="Q51" s="1317"/>
      <c r="R51" s="1316"/>
      <c r="S51" s="1322"/>
      <c r="T51" s="1325" t="s">
        <v>417</v>
      </c>
      <c r="U51" s="1324"/>
      <c r="V51" s="1324"/>
      <c r="W51" s="1324"/>
      <c r="X51" s="1324"/>
      <c r="Y51" s="1324"/>
      <c r="Z51" s="1324"/>
      <c r="AA51" s="1324"/>
      <c r="AB51" s="1324"/>
      <c r="AC51" s="1324"/>
      <c r="AD51" s="1324"/>
      <c r="AE51" s="1324"/>
      <c r="AF51" s="1324"/>
      <c r="AG51" s="1324"/>
      <c r="AH51" s="1324"/>
      <c r="AI51" s="1324"/>
      <c r="AJ51" s="1324"/>
      <c r="AK51" s="1324"/>
      <c r="AM51" s="789"/>
      <c r="AN51" s="789" t="str">
        <f>IF(T51="","",T51)</f>
        <v xml:space="preserve">Добавить централизованную систему для дифференциации</v>
      </c>
      <c r="AO51" s="789"/>
      <c r="AP51" s="789"/>
      <c r="AQ51" s="518">
        <v>0</v>
      </c>
    </row>
    <row r="52" s="1642" customFormat="1" ht="0" customHeight="1">
      <c r="A52" s="1343" t="s">
        <v>228</v>
      </c>
      <c r="B52" s="1343"/>
      <c r="C52" s="1343"/>
      <c r="D52" s="1343"/>
      <c r="E52" s="2258"/>
      <c r="F52" s="1343"/>
      <c r="G52" s="1343"/>
      <c r="H52" s="1343"/>
      <c r="I52" s="1343"/>
      <c r="J52" s="1343"/>
      <c r="K52" s="1343"/>
      <c r="L52" s="1346"/>
      <c r="M52" s="1321"/>
      <c r="N52" s="1321"/>
      <c r="O52" s="518"/>
      <c r="P52" s="380"/>
      <c r="Q52" s="1344"/>
      <c r="R52" s="380"/>
      <c r="S52" s="1322"/>
      <c r="T52" s="1325" t="s">
        <v>418</v>
      </c>
      <c r="U52" s="1324"/>
      <c r="V52" s="1324"/>
      <c r="W52" s="1324"/>
      <c r="X52" s="1324"/>
      <c r="Y52" s="1324"/>
      <c r="Z52" s="1324"/>
      <c r="AA52" s="1324"/>
      <c r="AB52" s="1324"/>
      <c r="AC52" s="1324"/>
      <c r="AD52" s="1324"/>
      <c r="AE52" s="1324"/>
      <c r="AF52" s="1324"/>
      <c r="AG52" s="1324"/>
      <c r="AH52" s="1324"/>
      <c r="AI52" s="1324"/>
      <c r="AJ52" s="1324"/>
      <c r="AK52" s="1324"/>
      <c r="AM52" s="500"/>
      <c r="AN52" s="500" t="str">
        <f>IF(T52="","",T52)</f>
        <v xml:space="preserve">Добавить территорию для дифференциации</v>
      </c>
      <c r="AO52" s="500"/>
      <c r="AP52" s="500"/>
      <c r="AQ52" s="511">
        <v>0</v>
      </c>
    </row>
    <row r="53" s="1642" customFormat="1" ht="0" customHeight="1">
      <c r="A53" s="1314"/>
      <c r="B53" s="1314"/>
      <c r="C53" s="1314"/>
      <c r="D53" s="1314"/>
      <c r="E53" s="1343"/>
      <c r="F53" s="1314"/>
      <c r="G53" s="1314"/>
      <c r="H53" s="1314"/>
      <c r="I53" s="1314"/>
      <c r="J53" s="1314"/>
      <c r="K53" s="1314"/>
      <c r="L53" s="1426"/>
      <c r="M53" s="1321"/>
      <c r="N53" s="1321"/>
      <c r="P53" s="1316"/>
      <c r="Q53" s="1317"/>
      <c r="R53" s="1316"/>
      <c r="S53" s="1322"/>
      <c r="T53" s="1325" t="s">
        <v>450</v>
      </c>
      <c r="U53" s="1324"/>
      <c r="V53" s="1324"/>
      <c r="W53" s="1324"/>
      <c r="X53" s="1324"/>
      <c r="Y53" s="1324"/>
      <c r="Z53" s="1324"/>
      <c r="AA53" s="1324"/>
      <c r="AB53" s="1324"/>
      <c r="AC53" s="1324"/>
      <c r="AD53" s="1324"/>
      <c r="AE53" s="1324"/>
      <c r="AF53" s="1324"/>
      <c r="AG53" s="1324"/>
      <c r="AH53" s="1324"/>
      <c r="AI53" s="1324"/>
      <c r="AJ53" s="1324"/>
      <c r="AK53" s="1324"/>
      <c r="AM53" s="789"/>
      <c r="AN53" s="789" t="str">
        <f>IF(T53="","",T53)</f>
        <v xml:space="preserve">Добавить наименование тарифа</v>
      </c>
      <c r="AO53" s="789"/>
      <c r="AP53" s="789"/>
      <c r="AQ53" s="518">
        <v>0</v>
      </c>
    </row>
    <row r="54" ht="11.5" customHeight="1">
      <c r="M54" s="1160"/>
      <c r="N54" s="1160"/>
      <c r="O54" s="537"/>
      <c r="P54" s="1155"/>
      <c r="Q54" s="1155"/>
      <c r="R54" s="1155"/>
      <c r="S54" s="1155"/>
      <c r="AL54" s="1155"/>
      <c r="AM54" s="1155"/>
      <c r="AN54" s="1155"/>
      <c r="AO54" s="1155"/>
      <c r="AP54" s="1155"/>
      <c r="AQ54" s="1155">
        <v>11</v>
      </c>
    </row>
    <row r="55" ht="14.65" customHeight="1">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r="56" ht="14.65" customHeight="1">
      <c r="O56" s="537"/>
      <c r="AQ56" s="1155">
        <v>14</v>
      </c>
    </row>
    <row r="57" ht="14.65" customHeight="1">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r="58" ht="22.5" hidden="1" customHeight="1">
      <c r="A58" s="1160" t="s">
        <v>81</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autoFilter="0" deleteColumns="0" deleteRows="0" formatColumns="0" formatRows="0" insertColumns="1" insertRows="0" sort="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4">
    <dataValidation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allowBlank="1" promptTitle="checkPeriodRange"/>
    <dataValidation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allowBlank="1" prompt="Выберите дату из календаря (иконка справа от указанной ячейки), либо введите дату непосредственно в ячейку в формате - 'ДД.ММ.ГГГГ'." showErrorMessage="1" showInputMessage="1"/>
    <dataValidation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allowBlank="1" prompt="Для выбора выполните двойной щелчок левой клавиши мыши по соответствующей ячейке." showErrorMessage="1" showInputMessage="1"/>
    <dataValidation sqref="S131116:AK131122 S196652:AK196658 S262188:AK262194 S327724:AK327730 S393260:AK393266 S458796:AK458802 S524332:AK524338 S589868:AK589874 S655404:AK655410 S720940:AK720946 S786476:AK786482 S852012:AK852018 S917548:AK917554 S983084:AK983090 S65580:AK65586" allowBlank="1"/>
  </dataValidations>
  <pageMargins left="0.69999999999999996" right="0.69999999999999996" top="0.75" bottom="0.75" header="0.29999999999999999" footer="0.29999999999999999"/>
  <pageSetup paperSize="9"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x14:dataValidation xr:uid="{002F0099-0068-4934-B438-00DA008D001F}" type="list" allowBlank="1" error="Выберите значение из списка" errorTitle="Ошибка" showErrorMessage="1" showInputMessage="1">
          <x14:formula1>
            <xm:f>kind_of_scheme_in</xm:f>
          </x14:formula1>
          <xm:sqref>V983080 V65576 V131112 V196648 V262184 V327720 V393256 V458792 V524328 V589864 V655400 V720936 V786472 V852008 V917544 AC983080 AC65576 AC131112 AC196648 AC262184 AC327720 AC393256 AC458792 AC524328 AC589864 AC655400 AC720936 AC786472 AC852008 AC917544</xm:sqref>
        </x14:dataValidation>
        <x14:dataValidation xr:uid="{00240064-00BB-439E-B97F-00F700F10069}" type="textLength" allowBlank="1" error="Допускается ввод не более 900 символов!" errorTitle="Ошибка" operator="lessThanOrEqual" showErrorMessage="1" showInputMessage="1">
          <x14:formula1>
            <xm:f>900</xm:f>
          </x14:formula1>
          <xm: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xm:sqref>
        </x14:dataValidation>
        <x14:dataValidation xr:uid="{0084004C-0001-4466-88F1-00E8004D005D}" type="list" allowBlank="1" error="Выберите значение из списка" errorTitle="Ошибка" showErrorMessage="1" showInputMessage="1">
          <x14:formula1>
            <xm:f>kind_of_heat_transfer</xm:f>
          </x14:formula1>
          <xm:sqref>T65578 T131114 T196650 T262186 T327722 T393258 T458794 T524330 T589866 T655402 T720938 T786474 T852010 T917546 T983082</xm:sqref>
        </x14:dataValidation>
        <x14:dataValidation xr:uid="{009C0051-009C-407D-A96C-0096006D00C2}" type="list" allowBlank="1" error="Выберите значение из списка" errorTitle="Ошибка" prompt="Выберите значение из списка" showInputMessage="1">
          <x14:formula1>
            <xm:f>kind_of_cons</xm:f>
          </x14:formula1>
          <xm:sqref>V983081:AJ983081 V65577:AJ65577 V131113:AJ131113 V196649:AJ196649 V262185:AJ262185 V327721:AJ327721 V393257:AJ393257 V458793:AJ458793 V524329:AJ524329 V589865:AJ589865 V655401:AJ655401 V720937:AJ720937 V786473:AJ786473 V852009:AJ852009 V917545:AJ917545</xm:sqref>
        </x14:dataValidation>
      </x14:dataValidations>
    </ext>
  </extLs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sheetPr>
  <sheetViews>
    <sheetView showGridLines="0" topLeftCell="A1" zoomScale="90" workbookViewId="0">
      <selection activeCell="A1" sqref="A1"/>
    </sheetView>
  </sheetViews>
  <sheetFormatPr defaultColWidth="10.57421875" defaultRowHeight="14.25" customHeight="1"/>
  <cols>
    <col hidden="1" min="1" max="1" style="1366" width="10.57421875"/>
    <col customWidth="1" hidden="1" min="2" max="2" style="1366" width="11.00390625"/>
    <col hidden="1" min="3" max="3" style="1366" width="10.57421875"/>
    <col customWidth="1" hidden="1" min="4" max="4" style="1366" width="11.8515625"/>
    <col customWidth="1" hidden="1" min="5" max="5" style="1366" width="10.00390625"/>
    <col customWidth="1" hidden="1" min="6" max="6" style="1366" width="8.7109375"/>
    <col customWidth="1" hidden="1" min="7" max="7" style="1366" width="7.57421875"/>
    <col customWidth="1" hidden="1" min="8" max="8" style="1366" width="11.421875"/>
    <col customWidth="1" hidden="1" min="9" max="9" style="1366" width="14.140625"/>
    <col customWidth="1" hidden="1" min="10" max="10" style="1366" width="9.8515625"/>
    <col customWidth="1" hidden="1" min="11" max="11" style="1366" width="14.7109375"/>
    <col customWidth="1" hidden="1" min="12" max="12" style="2607" width="19.140625"/>
    <col customWidth="1" hidden="1" min="13" max="14" style="1776" width="12.28125"/>
    <col customWidth="1" hidden="1" min="15" max="15" style="1776" width="23.421875"/>
    <col customWidth="1" min="16" max="16" style="2397" width="3.00390625"/>
    <col customWidth="1" min="17" max="18" style="344" width="3.00390625"/>
    <col customWidth="1" min="19" max="19" style="2407" width="12.00390625"/>
    <col customWidth="1" min="20" max="20" style="1635" width="35.00390625"/>
    <col customWidth="1" min="21" max="21" style="1635" width="0.140625"/>
    <col customWidth="1" hidden="1" min="22" max="24" style="1635" width="24.7109375"/>
    <col customWidth="1" hidden="1" min="25" max="25" style="1635" width="11.7109375"/>
    <col customWidth="1" hidden="1" min="26" max="26" style="1635" width="3.7109375"/>
    <col customWidth="1" hidden="1" min="27" max="27" style="1635" width="11.7109375"/>
    <col customWidth="1" hidden="1" min="28" max="28" style="1635" width="8.57421875"/>
    <col customWidth="1" min="29" max="29" style="1635" width="24.7109375"/>
    <col customWidth="1" min="30" max="31" style="1635" width="24.00390625"/>
    <col customWidth="1" min="32" max="32" style="1635" width="11.00390625"/>
    <col customWidth="1" min="33" max="33" style="1635" width="3.7109375"/>
    <col customWidth="1" min="34" max="34" style="1635" width="11.00390625"/>
    <col customWidth="1" hidden="1" min="35" max="35" style="1635" width="8.57421875"/>
    <col customWidth="1" min="36" max="36" style="1635" width="4.00390625"/>
    <col customWidth="1" min="37" max="37" style="1635" width="115.00390625"/>
    <col customWidth="1" min="38" max="42" style="1642" width="10.00390625"/>
    <col hidden="1" min="43" max="43" style="1635" width="10.57421875"/>
  </cols>
  <sheetData>
    <row r="1" ht="22.5" hidden="1" customHeight="1">
      <c r="X1" s="327"/>
      <c r="Y1" s="327"/>
      <c r="AE1" s="327"/>
      <c r="AF1" s="327"/>
      <c r="AQ1" s="1155" t="s">
        <v>14</v>
      </c>
    </row>
    <row r="2" ht="23.25" hidden="1" customHeight="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127</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 xml:space="preserve">Наименование тарифа</v>
      </c>
      <c r="AO2" s="500"/>
      <c r="AP2" s="500"/>
      <c r="AQ2" s="1155">
        <v>0</v>
      </c>
    </row>
    <row r="3" ht="23.25" hidden="1" customHeight="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399</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400</v>
      </c>
      <c r="AM3" s="500"/>
      <c r="AN3" s="500" t="str">
        <f>IF(T3="","",T3)</f>
        <v xml:space="preserve">Территория действия тарифа</v>
      </c>
      <c r="AO3" s="500"/>
      <c r="AP3" s="500"/>
      <c r="AQ3" s="1155">
        <v>0</v>
      </c>
    </row>
    <row r="4" ht="23.25" hidden="1" customHeight="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483</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484</v>
      </c>
      <c r="AM4" s="500"/>
      <c r="AN4" s="500" t="str">
        <f>IF(T4="","",T4)</f>
        <v xml:space="preserve">Наименование централизованной системы холодного водоснабжения</v>
      </c>
      <c r="AO4" s="500"/>
      <c r="AP4" s="500"/>
      <c r="AQ4" s="1155">
        <v>0</v>
      </c>
    </row>
    <row r="5" ht="23.25" hidden="1" customHeight="1">
      <c r="A5" s="1363"/>
      <c r="B5" s="1363"/>
      <c r="C5" s="1363"/>
      <c r="D5" s="1363"/>
      <c r="E5" s="2259"/>
      <c r="F5" s="2259"/>
      <c r="G5" s="2259"/>
      <c r="H5" s="2259"/>
      <c r="I5" s="2256">
        <f>S4&amp;".1"</f>
      </c>
      <c r="J5" s="1363"/>
      <c r="K5" s="1363"/>
      <c r="L5" s="1364"/>
      <c r="P5" s="2257">
        <v>1</v>
      </c>
      <c r="Q5" s="1450"/>
      <c r="R5" s="356"/>
      <c r="S5" s="1457">
        <f>$I5</f>
      </c>
      <c r="T5" s="285" t="s">
        <v>485</v>
      </c>
      <c r="U5" s="300"/>
      <c r="V5" s="2350"/>
      <c r="W5" s="2351"/>
      <c r="X5" s="2351"/>
      <c r="Y5" s="2351"/>
      <c r="Z5" s="2351"/>
      <c r="AA5" s="2351"/>
      <c r="AB5" s="2352"/>
      <c r="AC5" s="2353"/>
      <c r="AD5" s="2354"/>
      <c r="AE5" s="2354"/>
      <c r="AF5" s="2354"/>
      <c r="AG5" s="2354"/>
      <c r="AH5" s="2354"/>
      <c r="AI5" s="2354"/>
      <c r="AJ5" s="2355"/>
      <c r="AK5" s="1258" t="s">
        <v>486</v>
      </c>
      <c r="AM5" s="500"/>
      <c r="AN5" s="500" t="str">
        <f>IF(T5="","",T5)</f>
        <v xml:space="preserve">Наименование признака дифференциации</v>
      </c>
      <c r="AO5" s="500"/>
      <c r="AP5" s="500"/>
      <c r="AQ5" s="1155">
        <v>0</v>
      </c>
    </row>
    <row r="6" ht="23.25" hidden="1" customHeight="1">
      <c r="A6" s="1363"/>
      <c r="B6" s="1363"/>
      <c r="C6" s="1363"/>
      <c r="D6" s="1363"/>
      <c r="E6" s="2259"/>
      <c r="F6" s="2259"/>
      <c r="G6" s="2259"/>
      <c r="H6" s="2259"/>
      <c r="I6" s="2286"/>
      <c r="J6" s="2256">
        <f>I5&amp;".1"</f>
      </c>
      <c r="K6" s="1363"/>
      <c r="L6" s="1364" t="s">
        <v>408</v>
      </c>
      <c r="P6" s="2257"/>
      <c r="Q6" s="2257">
        <v>1</v>
      </c>
      <c r="R6" s="357"/>
      <c r="S6" s="1457">
        <f>$J6</f>
      </c>
      <c r="T6" s="286" t="s">
        <v>409</v>
      </c>
      <c r="U6" s="300"/>
      <c r="V6" s="2245"/>
      <c r="W6" s="2246"/>
      <c r="X6" s="2246"/>
      <c r="Y6" s="2246"/>
      <c r="Z6" s="2246"/>
      <c r="AA6" s="2246"/>
      <c r="AB6" s="2247"/>
      <c r="AC6" s="2245"/>
      <c r="AD6" s="2246"/>
      <c r="AE6" s="2246"/>
      <c r="AF6" s="2246"/>
      <c r="AG6" s="2246"/>
      <c r="AH6" s="2246"/>
      <c r="AI6" s="2246"/>
      <c r="AJ6" s="2247"/>
      <c r="AK6" s="1307" t="s">
        <v>487</v>
      </c>
      <c r="AM6" s="500"/>
      <c r="AN6" s="500" t="str">
        <f>IF(T6="","",T6)</f>
        <v xml:space="preserve">Группа потребителей</v>
      </c>
      <c r="AO6" s="500"/>
      <c r="AP6" s="500"/>
      <c r="AQ6" s="1155">
        <v>0</v>
      </c>
    </row>
    <row r="7" ht="23.25" hidden="1" customHeight="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r="8" ht="14.25" hidden="1" customHeight="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r="9" ht="21" hidden="1" customHeight="1">
      <c r="A9" s="1363"/>
      <c r="B9" s="1363"/>
      <c r="C9" s="1363"/>
      <c r="D9" s="1363"/>
      <c r="E9" s="2259"/>
      <c r="F9" s="2259"/>
      <c r="G9" s="2259"/>
      <c r="H9" s="2259"/>
      <c r="I9" s="2286"/>
      <c r="J9" s="2256"/>
      <c r="K9" s="1363"/>
      <c r="L9" s="1364"/>
      <c r="P9" s="2257"/>
      <c r="Q9" s="2257"/>
      <c r="R9" s="356"/>
      <c r="S9" s="1278"/>
      <c r="T9" s="287" t="s">
        <v>488</v>
      </c>
      <c r="U9" s="367"/>
      <c r="V9" s="367"/>
      <c r="W9" s="367"/>
      <c r="X9" s="367"/>
      <c r="Y9" s="367"/>
      <c r="Z9" s="367"/>
      <c r="AA9" s="367"/>
      <c r="AB9" s="367"/>
      <c r="AC9" s="367"/>
      <c r="AD9" s="367"/>
      <c r="AE9" s="367"/>
      <c r="AF9" s="367"/>
      <c r="AG9" s="367"/>
      <c r="AH9" s="367"/>
      <c r="AI9" s="367"/>
      <c r="AJ9" s="367"/>
      <c r="AK9" s="1258" t="s">
        <v>489</v>
      </c>
      <c r="AM9" s="500"/>
      <c r="AN9" s="500" t="str">
        <f>IF(T9="","",T9)</f>
        <v xml:space="preserve">Добавить значение признака дифференциации</v>
      </c>
      <c r="AO9" s="500"/>
      <c r="AP9" s="500"/>
      <c r="AQ9" s="1155">
        <v>0</v>
      </c>
    </row>
    <row r="10" ht="21" hidden="1" customHeight="1">
      <c r="A10" s="1363"/>
      <c r="B10" s="1363"/>
      <c r="C10" s="1363"/>
      <c r="D10" s="1363"/>
      <c r="E10" s="2259"/>
      <c r="F10" s="2259"/>
      <c r="G10" s="2259"/>
      <c r="H10" s="2259"/>
      <c r="I10" s="2256"/>
      <c r="J10" s="1363"/>
      <c r="K10" s="1363"/>
      <c r="L10" s="1364"/>
      <c r="P10" s="2257"/>
      <c r="Q10" s="1450"/>
      <c r="R10" s="356"/>
      <c r="S10" s="1278"/>
      <c r="T10" s="365" t="s">
        <v>414</v>
      </c>
      <c r="U10" s="367"/>
      <c r="V10" s="367"/>
      <c r="W10" s="367"/>
      <c r="X10" s="367"/>
      <c r="Y10" s="367"/>
      <c r="Z10" s="367"/>
      <c r="AA10" s="367"/>
      <c r="AB10" s="366"/>
      <c r="AC10" s="367"/>
      <c r="AD10" s="367"/>
      <c r="AE10" s="367"/>
      <c r="AF10" s="367"/>
      <c r="AG10" s="367"/>
      <c r="AH10" s="367"/>
      <c r="AI10" s="366"/>
      <c r="AJ10" s="367"/>
      <c r="AK10" s="1440"/>
      <c r="AM10" s="500"/>
      <c r="AN10" s="500" t="str">
        <f>IF(T10="","",T10)</f>
        <v xml:space="preserve">Добавить группу потребителей</v>
      </c>
      <c r="AO10" s="500"/>
      <c r="AP10" s="500"/>
      <c r="AQ10" s="1155">
        <v>0</v>
      </c>
    </row>
    <row r="11" ht="21" hidden="1" customHeight="1">
      <c r="A11" s="1363"/>
      <c r="B11" s="1363"/>
      <c r="C11" s="1363"/>
      <c r="D11" s="1363"/>
      <c r="E11" s="2259"/>
      <c r="F11" s="2259"/>
      <c r="G11" s="2259"/>
      <c r="H11" s="2258"/>
      <c r="I11" s="1363"/>
      <c r="J11" s="1363"/>
      <c r="K11" s="1363"/>
      <c r="L11" s="1364"/>
      <c r="M11" s="1365"/>
      <c r="N11" s="1365"/>
      <c r="O11" s="537"/>
      <c r="P11" s="360"/>
      <c r="Q11" s="375"/>
      <c r="R11" s="355"/>
      <c r="S11" s="1278"/>
      <c r="T11" s="372" t="s">
        <v>490</v>
      </c>
      <c r="U11" s="367"/>
      <c r="V11" s="367"/>
      <c r="W11" s="367"/>
      <c r="X11" s="367"/>
      <c r="Y11" s="367"/>
      <c r="Z11" s="367"/>
      <c r="AA11" s="367"/>
      <c r="AB11" s="366"/>
      <c r="AC11" s="367"/>
      <c r="AD11" s="367"/>
      <c r="AE11" s="367"/>
      <c r="AF11" s="367"/>
      <c r="AG11" s="367"/>
      <c r="AH11" s="367"/>
      <c r="AI11" s="366"/>
      <c r="AJ11" s="367"/>
      <c r="AK11" s="303"/>
      <c r="AM11" s="500"/>
      <c r="AN11" s="500" t="str">
        <f>IF(T11="","",T11)</f>
        <v xml:space="preserve">Добавить наименование признака дифференциации</v>
      </c>
      <c r="AO11" s="500"/>
      <c r="AP11" s="500"/>
      <c r="AQ11" s="1155">
        <v>0</v>
      </c>
    </row>
    <row r="12" s="1642" customFormat="1" ht="14.25" hidden="1" customHeight="1">
      <c r="A12" s="1343"/>
      <c r="B12" s="1343"/>
      <c r="C12" s="1314"/>
      <c r="D12" s="1314"/>
      <c r="E12" s="2259"/>
      <c r="F12" s="2258"/>
      <c r="G12" s="1314"/>
      <c r="H12" s="1314"/>
      <c r="I12" s="1314"/>
      <c r="J12" s="1314"/>
      <c r="K12" s="1314"/>
      <c r="L12" s="1458"/>
      <c r="M12" s="1321"/>
      <c r="N12" s="1321"/>
      <c r="P12" s="1316"/>
      <c r="Q12" s="1317"/>
      <c r="R12" s="1316"/>
      <c r="S12" s="1322"/>
      <c r="T12" s="1325" t="s">
        <v>417</v>
      </c>
      <c r="U12" s="1324"/>
      <c r="V12" s="1324"/>
      <c r="W12" s="1324"/>
      <c r="X12" s="1324"/>
      <c r="Y12" s="1324"/>
      <c r="Z12" s="1324"/>
      <c r="AA12" s="1324"/>
      <c r="AB12" s="1324"/>
      <c r="AC12" s="1324"/>
      <c r="AD12" s="1324"/>
      <c r="AE12" s="1324"/>
      <c r="AF12" s="1324"/>
      <c r="AG12" s="1324"/>
      <c r="AH12" s="1324"/>
      <c r="AI12" s="1324"/>
      <c r="AJ12" s="1324"/>
      <c r="AK12" s="1324"/>
      <c r="AM12" s="789"/>
      <c r="AN12" s="789" t="str">
        <f>IF(T12="","",T12)</f>
        <v xml:space="preserve">Добавить централизованную систему для дифференциации</v>
      </c>
      <c r="AO12" s="789"/>
      <c r="AP12" s="789"/>
      <c r="AQ12" s="518">
        <v>0</v>
      </c>
    </row>
    <row r="13" s="1642" customFormat="1" ht="14.25" hidden="1" customHeight="1">
      <c r="A13" s="1343"/>
      <c r="B13" s="1343"/>
      <c r="C13" s="1343"/>
      <c r="D13" s="1343"/>
      <c r="E13" s="2258"/>
      <c r="F13" s="1343"/>
      <c r="G13" s="1343"/>
      <c r="H13" s="1343"/>
      <c r="I13" s="1343"/>
      <c r="J13" s="1343"/>
      <c r="K13" s="1343"/>
      <c r="L13" s="1346"/>
      <c r="M13" s="1321"/>
      <c r="N13" s="1321"/>
      <c r="O13" s="518"/>
      <c r="P13" s="380"/>
      <c r="Q13" s="1344"/>
      <c r="R13" s="380"/>
      <c r="S13" s="1322"/>
      <c r="T13" s="1325" t="s">
        <v>418</v>
      </c>
      <c r="U13" s="1324"/>
      <c r="V13" s="1324"/>
      <c r="W13" s="1324"/>
      <c r="X13" s="1324"/>
      <c r="Y13" s="1324"/>
      <c r="Z13" s="1324"/>
      <c r="AA13" s="1324"/>
      <c r="AB13" s="1324"/>
      <c r="AC13" s="1324"/>
      <c r="AD13" s="1324"/>
      <c r="AE13" s="1324"/>
      <c r="AF13" s="1324"/>
      <c r="AG13" s="1324"/>
      <c r="AH13" s="1324"/>
      <c r="AI13" s="1324"/>
      <c r="AJ13" s="1324"/>
      <c r="AK13" s="1324"/>
      <c r="AM13" s="500"/>
      <c r="AN13" s="500" t="str">
        <f>IF(T13="","",T13)</f>
        <v xml:space="preserve">Добавить территорию для дифференциации</v>
      </c>
      <c r="AO13" s="500"/>
      <c r="AP13" s="500"/>
      <c r="AQ13" s="511">
        <v>0</v>
      </c>
    </row>
    <row r="14" ht="14.25" hidden="1" customHeight="1">
      <c r="AB14" s="327"/>
      <c r="AI14" s="327"/>
      <c r="AQ14" s="1155">
        <v>0</v>
      </c>
    </row>
    <row r="15" ht="14.25" hidden="1" customHeight="1">
      <c r="AC15" s="1360"/>
      <c r="AD15" s="1360"/>
      <c r="AE15" s="1361"/>
      <c r="AF15" s="2267"/>
      <c r="AG15" s="2268" t="s">
        <v>65</v>
      </c>
      <c r="AH15" s="2267"/>
      <c r="AI15" s="2268" t="s">
        <v>65</v>
      </c>
      <c r="AQ15" s="1155">
        <v>0</v>
      </c>
    </row>
    <row r="16" ht="14.25" hidden="1" customHeight="1">
      <c r="AC16" s="1360"/>
      <c r="AD16" s="1360"/>
      <c r="AE16" s="328" t="str">
        <f>AF15&amp;"-"&amp;AH15</f>
        <v>-</v>
      </c>
      <c r="AF16" s="2268"/>
      <c r="AG16" s="2268"/>
      <c r="AH16" s="2268"/>
      <c r="AI16" s="2268"/>
      <c r="AQ16" s="1155">
        <v>0</v>
      </c>
    </row>
    <row r="17" ht="14.25" hidden="1" customHeight="1">
      <c r="AI17" s="327"/>
      <c r="AQ17" s="1155">
        <v>0</v>
      </c>
    </row>
    <row r="18" s="1366" customFormat="1" ht="22.5" hidden="1" customHeight="1">
      <c r="L18" s="1447"/>
      <c r="M18" s="1362"/>
      <c r="N18" s="1362"/>
      <c r="O18" s="1367" t="s">
        <v>419</v>
      </c>
      <c r="P18" s="1362"/>
      <c r="Q18" s="1371"/>
      <c r="R18" s="1371"/>
      <c r="S18" s="729"/>
      <c r="Y18" s="1367"/>
      <c r="AA18" s="1367"/>
      <c r="AB18" s="1366"/>
      <c r="AF18" s="1367"/>
      <c r="AH18" s="1367"/>
      <c r="AI18" s="1366"/>
      <c r="AL18" s="511"/>
      <c r="AM18" s="511"/>
      <c r="AN18" s="511"/>
      <c r="AO18" s="511"/>
      <c r="AP18" s="511"/>
      <c r="AQ18" s="1160">
        <v>0</v>
      </c>
    </row>
    <row r="19" s="1366" customFormat="1" ht="14.25" hidden="1" customHeight="1">
      <c r="L19" s="1447"/>
      <c r="M19" s="1362"/>
      <c r="N19" s="1362"/>
      <c r="O19" s="1362"/>
      <c r="P19" s="1362"/>
      <c r="Q19" s="1371"/>
      <c r="R19" s="1371"/>
      <c r="S19" s="729"/>
      <c r="AB19" s="1366"/>
      <c r="AI19" s="1366"/>
      <c r="AL19" s="511"/>
      <c r="AM19" s="511"/>
      <c r="AN19" s="511"/>
      <c r="AO19" s="511"/>
      <c r="AP19" s="511"/>
      <c r="AQ19" s="1160">
        <v>0</v>
      </c>
    </row>
    <row r="20" s="1366" customFormat="1" ht="12" hidden="1" customHeight="1">
      <c r="L20" s="1447"/>
      <c r="M20" s="1362"/>
      <c r="N20" s="1362"/>
      <c r="O20" s="1364" t="s">
        <v>420</v>
      </c>
      <c r="P20" s="1362"/>
      <c r="Q20" s="1442"/>
      <c r="R20" s="1442"/>
      <c r="S20" s="729"/>
      <c r="T20" s="1160" t="s">
        <v>421</v>
      </c>
      <c r="Z20" s="186" t="s">
        <v>422</v>
      </c>
      <c r="AB20" s="186" t="s">
        <v>423</v>
      </c>
      <c r="AC20" s="1160" t="s">
        <v>421</v>
      </c>
      <c r="AG20" s="186" t="s">
        <v>424</v>
      </c>
      <c r="AI20" s="186" t="s">
        <v>423</v>
      </c>
      <c r="AQ20" s="1160">
        <v>0</v>
      </c>
    </row>
    <row r="21" ht="14.25" hidden="1" customHeight="1">
      <c r="O21" s="1364"/>
      <c r="AQ21" s="1155">
        <v>0</v>
      </c>
    </row>
    <row r="22" ht="14.25" hidden="1" customHeight="1">
      <c r="O22" s="1364"/>
      <c r="AQ22" s="1155">
        <v>0</v>
      </c>
    </row>
    <row r="23" ht="14.65" customHeight="1">
      <c r="Q23" s="376"/>
      <c r="R23" s="376"/>
      <c r="S23" s="1275"/>
      <c r="T23" s="363"/>
      <c r="U23" s="363"/>
      <c r="V23" s="509"/>
      <c r="W23" s="509"/>
      <c r="X23" s="509"/>
      <c r="Y23" s="509"/>
      <c r="Z23" s="509"/>
      <c r="AA23" s="509"/>
      <c r="AB23" s="509"/>
      <c r="AC23" s="509"/>
      <c r="AD23" s="509"/>
      <c r="AE23" s="509"/>
      <c r="AF23" s="509"/>
      <c r="AG23" s="509"/>
      <c r="AH23" s="509"/>
      <c r="AI23" s="509"/>
      <c r="AQ23" s="1155">
        <v>14</v>
      </c>
    </row>
    <row r="24" ht="14.65" customHeight="1">
      <c r="Q24" s="376"/>
      <c r="R24" s="376"/>
      <c r="S24" s="2248" t="str">
        <f>IF(TEMPLATE_GROUP="P",PT_P_FORM_COLDVSNA_4_NAME_FORM,PT_R_FORM_COLDVSNA_16_NAME_FORM)</f>
        <v xml:space="preserve">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r="25" ht="14.65" customHeight="1">
      <c r="Q25" s="376"/>
      <c r="R25" s="376"/>
      <c r="S25" s="2249" t="str">
        <f>IF(org=0,"Не определено",org)</f>
        <v xml:space="preserve">филиал ПАО "ОГК-2" - Рязанская ГРЭС</v>
      </c>
      <c r="T25" s="2249"/>
      <c r="U25" s="2249"/>
      <c r="V25" s="2249"/>
      <c r="W25" s="2249"/>
      <c r="X25" s="2249"/>
      <c r="Y25" s="2249"/>
      <c r="Z25" s="2249"/>
      <c r="AA25" s="2249"/>
      <c r="AB25" s="2249"/>
      <c r="AC25" s="2249"/>
      <c r="AD25" s="2249"/>
      <c r="AE25" s="2249"/>
      <c r="AF25" s="2249"/>
      <c r="AG25" s="2249"/>
      <c r="AH25" s="2249"/>
      <c r="AI25" s="1243"/>
      <c r="AQ25" s="1155">
        <v>14</v>
      </c>
    </row>
    <row r="26" ht="14.25" hidden="1" customHeight="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r="27" s="1853" customFormat="1" ht="25.5" hidden="1" customHeight="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r="28" s="1853" customFormat="1" ht="18.75" hidden="1" customHeight="1">
      <c r="A28" s="1368"/>
      <c r="B28" s="1368"/>
      <c r="C28" s="1368"/>
      <c r="D28" s="1368"/>
      <c r="E28" s="1368"/>
      <c r="F28" s="1368"/>
      <c r="G28" s="1368"/>
      <c r="H28" s="1368"/>
      <c r="I28" s="1368"/>
      <c r="J28" s="1368"/>
      <c r="K28" s="1368"/>
      <c r="L28" s="1369"/>
      <c r="M28" s="1368"/>
      <c r="N28" s="1368"/>
      <c r="O28" s="1368"/>
      <c r="S28" s="2250" t="s">
        <v>425</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r="29" s="1853" customFormat="1" ht="18.75" hidden="1" customHeight="1">
      <c r="A29" s="1368"/>
      <c r="B29" s="1368"/>
      <c r="C29" s="1368"/>
      <c r="D29" s="1368"/>
      <c r="E29" s="1368"/>
      <c r="F29" s="1368"/>
      <c r="G29" s="1368"/>
      <c r="H29" s="1368"/>
      <c r="I29" s="1368"/>
      <c r="J29" s="1368"/>
      <c r="K29" s="1368"/>
      <c r="L29" s="1369"/>
      <c r="M29" s="1368"/>
      <c r="N29" s="1368"/>
      <c r="O29" s="1368"/>
      <c r="S29" s="2250" t="s">
        <v>426</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r="30" s="1853" customFormat="1" ht="18.75" hidden="1" customHeight="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r="31" ht="14.25" hidden="1" customHeight="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r="32" s="1853" customFormat="1" ht="18.75" hidden="1" customHeight="1">
      <c r="A32" s="1368"/>
      <c r="B32" s="1368"/>
      <c r="C32" s="1368"/>
      <c r="D32" s="1368"/>
      <c r="E32" s="1368"/>
      <c r="F32" s="1368"/>
      <c r="G32" s="1368"/>
      <c r="H32" s="1368"/>
      <c r="I32" s="1368"/>
      <c r="J32" s="1368"/>
      <c r="K32" s="1368"/>
      <c r="L32" s="1369"/>
      <c r="M32" s="1368"/>
      <c r="N32" s="1368"/>
      <c r="O32" s="1368"/>
      <c r="S32" s="2250" t="s">
        <v>427</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r="33" s="1853" customFormat="1" ht="18.75" hidden="1" customHeight="1">
      <c r="A33" s="1368"/>
      <c r="B33" s="1368"/>
      <c r="C33" s="1368"/>
      <c r="D33" s="1368"/>
      <c r="E33" s="1368"/>
      <c r="F33" s="1368"/>
      <c r="G33" s="1368"/>
      <c r="H33" s="1368"/>
      <c r="I33" s="1368"/>
      <c r="J33" s="1368"/>
      <c r="K33" s="1368"/>
      <c r="L33" s="1369"/>
      <c r="M33" s="1368"/>
      <c r="N33" s="1368"/>
      <c r="O33" s="1368"/>
      <c r="S33" s="2250" t="s">
        <v>428</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r="34" s="1853" customFormat="1" ht="1.05" customHeight="1">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429</v>
      </c>
      <c r="AC34" s="326"/>
      <c r="AD34" s="326"/>
      <c r="AE34" s="326"/>
      <c r="AF34" s="326"/>
      <c r="AG34" s="326"/>
      <c r="AH34" s="326"/>
      <c r="AI34" s="278" t="s">
        <v>429</v>
      </c>
      <c r="AL34" s="368"/>
      <c r="AM34" s="368"/>
      <c r="AN34" s="368"/>
      <c r="AO34" s="368"/>
      <c r="AP34" s="368"/>
      <c r="AQ34" s="418">
        <v>1</v>
      </c>
    </row>
    <row r="35" ht="14.65" customHeight="1">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r="36" ht="14.65" customHeight="1">
      <c r="Q36" s="376"/>
      <c r="R36" s="376"/>
      <c r="S36" s="2127" t="s">
        <v>302</v>
      </c>
      <c r="T36" s="2127"/>
      <c r="U36" s="2127"/>
      <c r="V36" s="2127"/>
      <c r="W36" s="2127"/>
      <c r="X36" s="2127"/>
      <c r="Y36" s="2127"/>
      <c r="Z36" s="2127"/>
      <c r="AA36" s="2127"/>
      <c r="AB36" s="2127"/>
      <c r="AC36" s="2127"/>
      <c r="AD36" s="2127"/>
      <c r="AE36" s="2127"/>
      <c r="AF36" s="2127"/>
      <c r="AG36" s="2127"/>
      <c r="AH36" s="2127"/>
      <c r="AI36" s="2127"/>
      <c r="AJ36" s="2127"/>
      <c r="AK36" s="2127" t="s">
        <v>303</v>
      </c>
      <c r="AQ36" s="1155">
        <v>14</v>
      </c>
    </row>
    <row r="37" ht="14.65" customHeight="1">
      <c r="Q37" s="376"/>
      <c r="R37" s="376"/>
      <c r="S37" s="2273" t="s">
        <v>87</v>
      </c>
      <c r="T37" s="2209" t="s">
        <v>430</v>
      </c>
      <c r="U37" s="301"/>
      <c r="V37" s="2274" t="s">
        <v>431</v>
      </c>
      <c r="W37" s="2275"/>
      <c r="X37" s="2275"/>
      <c r="Y37" s="2275"/>
      <c r="Z37" s="2275"/>
      <c r="AA37" s="2276"/>
      <c r="AB37" s="2277" t="s">
        <v>432</v>
      </c>
      <c r="AC37" s="2274" t="s">
        <v>431</v>
      </c>
      <c r="AD37" s="2275"/>
      <c r="AE37" s="2275"/>
      <c r="AF37" s="2275"/>
      <c r="AG37" s="2275"/>
      <c r="AH37" s="2276"/>
      <c r="AI37" s="2277" t="s">
        <v>433</v>
      </c>
      <c r="AJ37" s="2280" t="s">
        <v>434</v>
      </c>
      <c r="AK37" s="2127"/>
      <c r="AQ37" s="1155">
        <v>14</v>
      </c>
    </row>
    <row r="38" ht="35.649999999999999" customHeight="1">
      <c r="Q38" s="376"/>
      <c r="R38" s="376"/>
      <c r="S38" s="2273"/>
      <c r="T38" s="2209"/>
      <c r="U38" s="1031"/>
      <c r="V38" s="1452" t="s">
        <v>491</v>
      </c>
      <c r="W38" s="2262" t="s">
        <v>437</v>
      </c>
      <c r="X38" s="2263"/>
      <c r="Y38" s="2262" t="s">
        <v>438</v>
      </c>
      <c r="Z38" s="2269"/>
      <c r="AA38" s="2263"/>
      <c r="AB38" s="2278"/>
      <c r="AC38" s="1452" t="s">
        <v>491</v>
      </c>
      <c r="AD38" s="2262" t="s">
        <v>437</v>
      </c>
      <c r="AE38" s="2263"/>
      <c r="AF38" s="2262" t="s">
        <v>438</v>
      </c>
      <c r="AG38" s="2269"/>
      <c r="AH38" s="2263"/>
      <c r="AI38" s="2278"/>
      <c r="AJ38" s="2281"/>
      <c r="AK38" s="2127"/>
      <c r="AQ38" s="1155">
        <v>34</v>
      </c>
    </row>
    <row r="39" ht="35.649999999999999" customHeight="1">
      <c r="A39" s="1370"/>
      <c r="B39" s="1370" t="s">
        <v>139</v>
      </c>
      <c r="C39" s="1370" t="s">
        <v>140</v>
      </c>
      <c r="D39" s="1370" t="s">
        <v>141</v>
      </c>
      <c r="E39" s="1364" t="s">
        <v>439</v>
      </c>
      <c r="F39" s="1364" t="s">
        <v>440</v>
      </c>
      <c r="G39" s="1364" t="s">
        <v>441</v>
      </c>
      <c r="H39" s="1364"/>
      <c r="I39" s="1364" t="s">
        <v>492</v>
      </c>
      <c r="J39" s="1364" t="s">
        <v>444</v>
      </c>
      <c r="K39" s="1364" t="s">
        <v>493</v>
      </c>
      <c r="L39" s="1364" t="s">
        <v>420</v>
      </c>
      <c r="Q39" s="376"/>
      <c r="R39" s="376"/>
      <c r="S39" s="2273"/>
      <c r="T39" s="2209"/>
      <c r="U39" s="302"/>
      <c r="V39" s="1452" t="s">
        <v>494</v>
      </c>
      <c r="W39" s="1222" t="s">
        <v>495</v>
      </c>
      <c r="X39" s="1222" t="s">
        <v>496</v>
      </c>
      <c r="Y39" s="1455" t="s">
        <v>448</v>
      </c>
      <c r="Z39" s="2270" t="s">
        <v>449</v>
      </c>
      <c r="AA39" s="2271"/>
      <c r="AB39" s="2279"/>
      <c r="AC39" s="1452" t="s">
        <v>494</v>
      </c>
      <c r="AD39" s="1222" t="s">
        <v>495</v>
      </c>
      <c r="AE39" s="1222" t="s">
        <v>496</v>
      </c>
      <c r="AF39" s="1455" t="s">
        <v>448</v>
      </c>
      <c r="AG39" s="2270" t="s">
        <v>449</v>
      </c>
      <c r="AH39" s="2271"/>
      <c r="AI39" s="2279"/>
      <c r="AJ39" s="2282"/>
      <c r="AK39" s="2127"/>
      <c r="AQ39" s="1155">
        <v>34</v>
      </c>
    </row>
    <row r="40" s="1641" customFormat="1" ht="0" customHeight="1">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r="41" ht="24" customHeight="1">
      <c r="A41" s="1363" t="s">
        <v>233</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127</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 xml:space="preserve">Наименование тарифа</v>
      </c>
      <c r="AO41" s="500"/>
      <c r="AP41" s="500"/>
      <c r="AQ41" s="1155">
        <v>23</v>
      </c>
    </row>
    <row r="42" ht="24" customHeight="1">
      <c r="A42" s="1363" t="s">
        <v>233</v>
      </c>
      <c r="B42" s="1363" t="s">
        <v>234</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399</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400</v>
      </c>
      <c r="AM42" s="500"/>
      <c r="AN42" s="500" t="str">
        <f>IF(T42="","",T42)</f>
        <v xml:space="preserve">Территория действия тарифа</v>
      </c>
      <c r="AO42" s="500"/>
      <c r="AP42" s="500"/>
      <c r="AQ42" s="1155">
        <v>23</v>
      </c>
    </row>
    <row r="43" ht="24" customHeight="1">
      <c r="A43" s="1363" t="s">
        <v>233</v>
      </c>
      <c r="B43" s="1363" t="s">
        <v>234</v>
      </c>
      <c r="C43" s="1363" t="s">
        <v>235</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483</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484</v>
      </c>
      <c r="AM43" s="500"/>
      <c r="AN43" s="500" t="str">
        <f>IF(T43="","",T43)</f>
        <v xml:space="preserve">Наименование централизованной системы холодного водоснабжения</v>
      </c>
      <c r="AO43" s="500"/>
      <c r="AP43" s="500"/>
      <c r="AQ43" s="1155">
        <v>23</v>
      </c>
    </row>
    <row r="44" ht="24" customHeight="1">
      <c r="A44" s="1363" t="s">
        <v>233</v>
      </c>
      <c r="B44" s="1363" t="s">
        <v>234</v>
      </c>
      <c r="C44" s="1363" t="s">
        <v>235</v>
      </c>
      <c r="D44" s="1363" t="s">
        <v>498</v>
      </c>
      <c r="E44" s="2259"/>
      <c r="F44" s="2259"/>
      <c r="G44" s="2259"/>
      <c r="H44" s="2259"/>
      <c r="I44" s="2256" t="str">
        <f>S43&amp;".1"</f>
        <v>...1</v>
      </c>
      <c r="J44" s="1363"/>
      <c r="K44" s="1363"/>
      <c r="L44" s="1364"/>
      <c r="P44" s="2257">
        <v>1</v>
      </c>
      <c r="Q44" s="1450"/>
      <c r="R44" s="356"/>
      <c r="S44" s="1457" t="str">
        <f>$I44</f>
        <v>...1</v>
      </c>
      <c r="T44" s="285" t="s">
        <v>485</v>
      </c>
      <c r="U44" s="300"/>
      <c r="V44" s="2350"/>
      <c r="W44" s="2351"/>
      <c r="X44" s="2351"/>
      <c r="Y44" s="2351"/>
      <c r="Z44" s="2351"/>
      <c r="AA44" s="2351"/>
      <c r="AB44" s="2352"/>
      <c r="AC44" s="2353"/>
      <c r="AD44" s="2354"/>
      <c r="AE44" s="2354"/>
      <c r="AF44" s="2354"/>
      <c r="AG44" s="2354"/>
      <c r="AH44" s="2354"/>
      <c r="AI44" s="2354"/>
      <c r="AJ44" s="2355"/>
      <c r="AK44" s="1258" t="s">
        <v>486</v>
      </c>
      <c r="AM44" s="500"/>
      <c r="AN44" s="500" t="str">
        <f>IF(T44="","",T44)</f>
        <v xml:space="preserve">Наименование признака дифференциации</v>
      </c>
      <c r="AO44" s="500"/>
      <c r="AP44" s="500"/>
      <c r="AQ44" s="1155">
        <v>23</v>
      </c>
    </row>
    <row r="45" ht="24" customHeight="1">
      <c r="A45" s="1363" t="s">
        <v>233</v>
      </c>
      <c r="B45" s="1363" t="s">
        <v>234</v>
      </c>
      <c r="C45" s="1363" t="s">
        <v>235</v>
      </c>
      <c r="D45" s="1363" t="s">
        <v>498</v>
      </c>
      <c r="E45" s="2259"/>
      <c r="F45" s="2259"/>
      <c r="G45" s="2259"/>
      <c r="H45" s="2259"/>
      <c r="I45" s="2286"/>
      <c r="J45" s="2256" t="str">
        <f>I44&amp;".1"</f>
        <v>...1.1</v>
      </c>
      <c r="K45" s="1363"/>
      <c r="L45" s="1364" t="s">
        <v>408</v>
      </c>
      <c r="P45" s="2257"/>
      <c r="Q45" s="2257">
        <v>1</v>
      </c>
      <c r="R45" s="357"/>
      <c r="S45" s="1457" t="str">
        <f>$J45</f>
        <v>...1.1</v>
      </c>
      <c r="T45" s="286" t="s">
        <v>409</v>
      </c>
      <c r="U45" s="300"/>
      <c r="V45" s="2245"/>
      <c r="W45" s="2246"/>
      <c r="X45" s="2246"/>
      <c r="Y45" s="2246"/>
      <c r="Z45" s="2246"/>
      <c r="AA45" s="2246"/>
      <c r="AB45" s="2247"/>
      <c r="AC45" s="2245"/>
      <c r="AD45" s="2246"/>
      <c r="AE45" s="2246"/>
      <c r="AF45" s="2246"/>
      <c r="AG45" s="2246"/>
      <c r="AH45" s="2246"/>
      <c r="AI45" s="2246"/>
      <c r="AJ45" s="2247"/>
      <c r="AK45" s="1307" t="s">
        <v>487</v>
      </c>
      <c r="AM45" s="500"/>
      <c r="AN45" s="500" t="str">
        <f>IF(T45="","",T45)</f>
        <v xml:space="preserve">Группа потребителей</v>
      </c>
      <c r="AO45" s="500"/>
      <c r="AP45" s="500"/>
      <c r="AQ45" s="1155">
        <v>23</v>
      </c>
    </row>
    <row r="46" ht="24" customHeight="1">
      <c r="A46" s="1363" t="s">
        <v>233</v>
      </c>
      <c r="B46" s="1363" t="s">
        <v>234</v>
      </c>
      <c r="C46" s="1363" t="s">
        <v>235</v>
      </c>
      <c r="D46" s="1363" t="s">
        <v>498</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r="47" ht="0" customHeight="1">
      <c r="A47" s="1363" t="s">
        <v>233</v>
      </c>
      <c r="B47" s="1363" t="s">
        <v>234</v>
      </c>
      <c r="C47" s="1363" t="s">
        <v>235</v>
      </c>
      <c r="D47" s="1363" t="s">
        <v>498</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r="48" ht="21" customHeight="1">
      <c r="A48" s="1363" t="s">
        <v>233</v>
      </c>
      <c r="B48" s="1363" t="s">
        <v>234</v>
      </c>
      <c r="C48" s="1363" t="s">
        <v>235</v>
      </c>
      <c r="D48" s="1363" t="s">
        <v>498</v>
      </c>
      <c r="E48" s="2259"/>
      <c r="F48" s="2259"/>
      <c r="G48" s="2259"/>
      <c r="H48" s="2259"/>
      <c r="I48" s="2286"/>
      <c r="J48" s="2256"/>
      <c r="K48" s="1363"/>
      <c r="L48" s="1364"/>
      <c r="P48" s="2257"/>
      <c r="Q48" s="2257"/>
      <c r="R48" s="356"/>
      <c r="S48" s="1278"/>
      <c r="T48" s="287" t="s">
        <v>488</v>
      </c>
      <c r="U48" s="367"/>
      <c r="V48" s="367"/>
      <c r="W48" s="367"/>
      <c r="X48" s="367"/>
      <c r="Y48" s="367"/>
      <c r="Z48" s="367"/>
      <c r="AA48" s="367"/>
      <c r="AB48" s="367"/>
      <c r="AC48" s="367"/>
      <c r="AD48" s="367"/>
      <c r="AE48" s="367"/>
      <c r="AF48" s="367"/>
      <c r="AG48" s="367"/>
      <c r="AH48" s="367"/>
      <c r="AI48" s="367"/>
      <c r="AJ48" s="367"/>
      <c r="AK48" s="1258" t="s">
        <v>489</v>
      </c>
      <c r="AM48" s="500"/>
      <c r="AN48" s="500" t="str">
        <f>IF(T48="","",T48)</f>
        <v xml:space="preserve">Добавить значение признака дифференциации</v>
      </c>
      <c r="AO48" s="500"/>
      <c r="AP48" s="500"/>
      <c r="AQ48" s="1155">
        <v>20</v>
      </c>
    </row>
    <row r="49" ht="22" customHeight="1">
      <c r="A49" s="1363" t="s">
        <v>233</v>
      </c>
      <c r="B49" s="1363" t="s">
        <v>234</v>
      </c>
      <c r="C49" s="1363" t="s">
        <v>235</v>
      </c>
      <c r="D49" s="1363" t="s">
        <v>498</v>
      </c>
      <c r="E49" s="2259"/>
      <c r="F49" s="2259"/>
      <c r="G49" s="2259"/>
      <c r="H49" s="2259"/>
      <c r="I49" s="2256"/>
      <c r="J49" s="1363"/>
      <c r="K49" s="1363"/>
      <c r="L49" s="1364"/>
      <c r="P49" s="2257"/>
      <c r="Q49" s="1450"/>
      <c r="R49" s="356"/>
      <c r="S49" s="1278"/>
      <c r="T49" s="365" t="s">
        <v>414</v>
      </c>
      <c r="U49" s="367"/>
      <c r="V49" s="367"/>
      <c r="W49" s="367"/>
      <c r="X49" s="367"/>
      <c r="Y49" s="367"/>
      <c r="Z49" s="367"/>
      <c r="AA49" s="367"/>
      <c r="AB49" s="366"/>
      <c r="AC49" s="367"/>
      <c r="AD49" s="367"/>
      <c r="AE49" s="367"/>
      <c r="AF49" s="367"/>
      <c r="AG49" s="367"/>
      <c r="AH49" s="367"/>
      <c r="AI49" s="366"/>
      <c r="AJ49" s="367"/>
      <c r="AK49" s="1440"/>
      <c r="AM49" s="500"/>
      <c r="AN49" s="500" t="str">
        <f>IF(T49="","",T49)</f>
        <v xml:space="preserve">Добавить группу потребителей</v>
      </c>
      <c r="AO49" s="500"/>
      <c r="AP49" s="500"/>
      <c r="AQ49" s="1155">
        <v>21</v>
      </c>
    </row>
    <row r="50" ht="22" customHeight="1">
      <c r="A50" s="1363" t="s">
        <v>233</v>
      </c>
      <c r="B50" s="1363" t="s">
        <v>234</v>
      </c>
      <c r="C50" s="1363" t="s">
        <v>235</v>
      </c>
      <c r="D50" s="1363" t="s">
        <v>498</v>
      </c>
      <c r="E50" s="2259"/>
      <c r="F50" s="2259"/>
      <c r="G50" s="2259"/>
      <c r="H50" s="2258"/>
      <c r="I50" s="1363"/>
      <c r="J50" s="1363"/>
      <c r="K50" s="1363"/>
      <c r="L50" s="1364"/>
      <c r="M50" s="1365"/>
      <c r="N50" s="1365"/>
      <c r="O50" s="537"/>
      <c r="P50" s="360"/>
      <c r="Q50" s="375"/>
      <c r="R50" s="355"/>
      <c r="S50" s="1278"/>
      <c r="T50" s="372" t="s">
        <v>490</v>
      </c>
      <c r="U50" s="367"/>
      <c r="V50" s="367"/>
      <c r="W50" s="367"/>
      <c r="X50" s="367"/>
      <c r="Y50" s="367"/>
      <c r="Z50" s="367"/>
      <c r="AA50" s="367"/>
      <c r="AB50" s="366"/>
      <c r="AC50" s="367"/>
      <c r="AD50" s="367"/>
      <c r="AE50" s="367"/>
      <c r="AF50" s="367"/>
      <c r="AG50" s="367"/>
      <c r="AH50" s="367"/>
      <c r="AI50" s="366"/>
      <c r="AJ50" s="367"/>
      <c r="AK50" s="303"/>
      <c r="AM50" s="500"/>
      <c r="AN50" s="500" t="str">
        <f>IF(T50="","",T50)</f>
        <v xml:space="preserve">Добавить наименование признака дифференциации</v>
      </c>
      <c r="AO50" s="500"/>
      <c r="AP50" s="500"/>
      <c r="AQ50" s="1155">
        <v>21</v>
      </c>
    </row>
    <row r="51" s="1642" customFormat="1" ht="0" customHeight="1">
      <c r="A51" s="1343" t="s">
        <v>233</v>
      </c>
      <c r="B51" s="1343" t="s">
        <v>234</v>
      </c>
      <c r="C51" s="1314"/>
      <c r="D51" s="1314"/>
      <c r="E51" s="2259"/>
      <c r="F51" s="2258"/>
      <c r="G51" s="1314"/>
      <c r="H51" s="1314"/>
      <c r="I51" s="1314"/>
      <c r="J51" s="1314"/>
      <c r="K51" s="1314"/>
      <c r="L51" s="1458"/>
      <c r="M51" s="1321"/>
      <c r="N51" s="1321"/>
      <c r="P51" s="1316"/>
      <c r="Q51" s="1317"/>
      <c r="R51" s="1316"/>
      <c r="S51" s="1322"/>
      <c r="T51" s="1325" t="s">
        <v>417</v>
      </c>
      <c r="U51" s="1324"/>
      <c r="V51" s="1324"/>
      <c r="W51" s="1324"/>
      <c r="X51" s="1324"/>
      <c r="Y51" s="1324"/>
      <c r="Z51" s="1324"/>
      <c r="AA51" s="1324"/>
      <c r="AB51" s="1324"/>
      <c r="AC51" s="1324"/>
      <c r="AD51" s="1324"/>
      <c r="AE51" s="1324"/>
      <c r="AF51" s="1324"/>
      <c r="AG51" s="1324"/>
      <c r="AH51" s="1324"/>
      <c r="AI51" s="1324"/>
      <c r="AJ51" s="1324"/>
      <c r="AK51" s="1324"/>
      <c r="AM51" s="789"/>
      <c r="AN51" s="789" t="str">
        <f>IF(T51="","",T51)</f>
        <v xml:space="preserve">Добавить централизованную систему для дифференциации</v>
      </c>
      <c r="AO51" s="789"/>
      <c r="AP51" s="789"/>
      <c r="AQ51" s="518">
        <v>0</v>
      </c>
    </row>
    <row r="52" s="1642" customFormat="1" ht="0" customHeight="1">
      <c r="A52" s="1343" t="s">
        <v>233</v>
      </c>
      <c r="B52" s="1343"/>
      <c r="C52" s="1343"/>
      <c r="D52" s="1343"/>
      <c r="E52" s="2258"/>
      <c r="F52" s="1343"/>
      <c r="G52" s="1343"/>
      <c r="H52" s="1343"/>
      <c r="I52" s="1343"/>
      <c r="J52" s="1343"/>
      <c r="K52" s="1343"/>
      <c r="L52" s="1346"/>
      <c r="M52" s="1321"/>
      <c r="N52" s="1321"/>
      <c r="O52" s="518"/>
      <c r="P52" s="380"/>
      <c r="Q52" s="1344"/>
      <c r="R52" s="380"/>
      <c r="S52" s="1322"/>
      <c r="T52" s="1325" t="s">
        <v>418</v>
      </c>
      <c r="U52" s="1324"/>
      <c r="V52" s="1324"/>
      <c r="W52" s="1324"/>
      <c r="X52" s="1324"/>
      <c r="Y52" s="1324"/>
      <c r="Z52" s="1324"/>
      <c r="AA52" s="1324"/>
      <c r="AB52" s="1324"/>
      <c r="AC52" s="1324"/>
      <c r="AD52" s="1324"/>
      <c r="AE52" s="1324"/>
      <c r="AF52" s="1324"/>
      <c r="AG52" s="1324"/>
      <c r="AH52" s="1324"/>
      <c r="AI52" s="1324"/>
      <c r="AJ52" s="1324"/>
      <c r="AK52" s="1324"/>
      <c r="AM52" s="500"/>
      <c r="AN52" s="500" t="str">
        <f>IF(T52="","",T52)</f>
        <v xml:space="preserve">Добавить территорию для дифференциации</v>
      </c>
      <c r="AO52" s="500"/>
      <c r="AP52" s="500"/>
      <c r="AQ52" s="511">
        <v>0</v>
      </c>
    </row>
    <row r="53" s="1642" customFormat="1" ht="0" customHeight="1">
      <c r="A53" s="1314"/>
      <c r="B53" s="1314"/>
      <c r="C53" s="1314"/>
      <c r="D53" s="1314"/>
      <c r="E53" s="1343"/>
      <c r="F53" s="1314"/>
      <c r="G53" s="1314"/>
      <c r="H53" s="1314"/>
      <c r="I53" s="1314"/>
      <c r="J53" s="1314"/>
      <c r="K53" s="1314"/>
      <c r="L53" s="1458"/>
      <c r="M53" s="1321"/>
      <c r="N53" s="1321"/>
      <c r="P53" s="1316"/>
      <c r="Q53" s="1317"/>
      <c r="R53" s="1316"/>
      <c r="S53" s="1322"/>
      <c r="T53" s="1325" t="s">
        <v>450</v>
      </c>
      <c r="U53" s="1324"/>
      <c r="V53" s="1324"/>
      <c r="W53" s="1324"/>
      <c r="X53" s="1324"/>
      <c r="Y53" s="1324"/>
      <c r="Z53" s="1324"/>
      <c r="AA53" s="1324"/>
      <c r="AB53" s="1324"/>
      <c r="AC53" s="1324"/>
      <c r="AD53" s="1324"/>
      <c r="AE53" s="1324"/>
      <c r="AF53" s="1324"/>
      <c r="AG53" s="1324"/>
      <c r="AH53" s="1324"/>
      <c r="AI53" s="1324"/>
      <c r="AJ53" s="1324"/>
      <c r="AK53" s="1324"/>
      <c r="AM53" s="789"/>
      <c r="AN53" s="789" t="str">
        <f>IF(T53="","",T53)</f>
        <v xml:space="preserve">Добавить наименование тарифа</v>
      </c>
      <c r="AO53" s="789"/>
      <c r="AP53" s="789"/>
      <c r="AQ53" s="518">
        <v>0</v>
      </c>
    </row>
    <row r="54" ht="11.5" customHeight="1">
      <c r="M54" s="1160"/>
      <c r="N54" s="1160"/>
      <c r="O54" s="537"/>
      <c r="P54" s="1155"/>
      <c r="Q54" s="1155"/>
      <c r="R54" s="1155"/>
      <c r="S54" s="1155"/>
      <c r="AL54" s="1155"/>
      <c r="AM54" s="1155"/>
      <c r="AN54" s="1155"/>
      <c r="AO54" s="1155"/>
      <c r="AP54" s="1155"/>
      <c r="AQ54" s="1155">
        <v>11</v>
      </c>
    </row>
    <row r="55" ht="14.65" customHeight="1">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r="56" ht="14.65" customHeight="1">
      <c r="O56" s="537"/>
      <c r="AQ56" s="1155">
        <v>14</v>
      </c>
    </row>
    <row r="57" ht="14.65" customHeight="1">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r="58" ht="22.5" hidden="1" customHeight="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autoFilter="0" deleteColumns="0" deleteRows="0" formatColumns="0" formatRows="0" insertColumns="1" insertRows="0" sort="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4">
    <dataValidation sqref="S131116:AK131122 S196652:AK196658 S262188:AK262194 S327724:AK327730 S393260:AK393266 S458796:AK458802 S524332:AK524338 S589868:AK589874 S655404:AK655410 S720940:AK720946 S786476:AK786482 S852012:AK852018 S917548:AK917554 S983084:AK983090 S65580:AK65586" allowBlank="1"/>
    <dataValidation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allowBlank="1" promptTitle="checkPeriodRange"/>
    <dataValidation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allowBlank="1" prompt="Выберите дату из календаря (иконка справа от указанной ячейки), либо введите дату непосредственно в ячейку в формате - 'ДД.ММ.ГГГГ'." showErrorMessage="1" showInputMessage="1"/>
    <dataValidation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allowBlank="1" prompt="Для выбора выполните двойной щелчок левой клавиши мыши по соответствующей ячейке." showErrorMessage="1" showInputMessage="1"/>
  </dataValidations>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x14:dataValidation xr:uid="{00FD008D-00CE-4C94-BF14-0035002C002A}" type="list" allowBlank="1" error="Выберите значение из списка" errorTitle="Ошибка" prompt="Выберите значение из списка" showInputMessage="1">
          <x14:formula1>
            <xm:f>kind_of_cons</xm:f>
          </x14:formula1>
          <xm:sqref>V983081:AJ983081 V65577:AJ65577 V131113:AJ131113 V196649:AJ196649 V262185:AJ262185 V327721:AJ327721 V393257:AJ393257 V458793:AJ458793 V524329:AJ524329 V589865:AJ589865 V655401:AJ655401 V720937:AJ720937 V786473:AJ786473 V852009:AJ852009 V917545:AJ917545</xm:sqref>
        </x14:dataValidation>
        <x14:dataValidation xr:uid="{009D0082-00BB-4240-864B-0057008400C0}" type="list" allowBlank="1" error="Выберите значение из списка" errorTitle="Ошибка" showErrorMessage="1" showInputMessage="1">
          <x14:formula1>
            <xm:f>kind_of_scheme_in</xm:f>
          </x14:formula1>
          <xm:sqref>V983080 V65576 V131112 V196648 V262184 V327720 V393256 V458792 V524328 V589864 V655400 V720936 V786472 V852008 V917544 AC983080 AC65576 AC131112 AC196648 AC262184 AC327720 AC393256 AC458792 AC524328 AC589864 AC655400 AC720936 AC786472 AC852008 AC917544</xm:sqref>
        </x14:dataValidation>
        <x14:dataValidation xr:uid="{002F00F3-0017-4F6C-8A64-00CB006B0009}" type="textLength" allowBlank="1" error="Допускается ввод не более 900 символов!" errorTitle="Ошибка" operator="lessThanOrEqual" showErrorMessage="1" showInputMessage="1">
          <x14:formula1>
            <xm:f>900</xm:f>
          </x14:formula1>
          <xm: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xm:sqref>
        </x14:dataValidation>
        <x14:dataValidation xr:uid="{0050009E-0087-4F26-A93B-0036008A0085}" type="list" allowBlank="1" error="Выберите значение из списка" errorTitle="Ошибка" showErrorMessage="1" showInputMessage="1">
          <x14:formula1>
            <xm:f>kind_of_heat_transfer</xm:f>
          </x14:formula1>
          <xm:sqref>T65578 T131114 T196650 T262186 T327722 T393258 T458794 T524330 T589866 T655402 T720938 T786474 T852010 T917546 T983082</xm:sqref>
        </x14:dataValidation>
      </x14:dataValidations>
    </ext>
  </extLs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sheetPr>
  <sheetViews>
    <sheetView showGridLines="0" topLeftCell="A1" zoomScale="90" workbookViewId="0">
      <selection activeCell="A1" sqref="A1"/>
    </sheetView>
  </sheetViews>
  <sheetFormatPr defaultColWidth="10.57421875" defaultRowHeight="14.25" customHeight="1"/>
  <cols>
    <col hidden="1" min="1" max="1" style="1366" width="10.57421875"/>
    <col customWidth="1" hidden="1" min="2" max="2" style="1366" width="11.00390625"/>
    <col hidden="1" min="3" max="3" style="1366" width="10.57421875"/>
    <col customWidth="1" hidden="1" min="4" max="4" style="1366" width="11.8515625"/>
    <col customWidth="1" hidden="1" min="5" max="5" style="1366" width="10.00390625"/>
    <col customWidth="1" hidden="1" min="6" max="6" style="1366" width="8.7109375"/>
    <col customWidth="1" hidden="1" min="7" max="7" style="1366" width="7.57421875"/>
    <col customWidth="1" hidden="1" min="8" max="8" style="1366" width="11.421875"/>
    <col customWidth="1" hidden="1" min="9" max="9" style="1366" width="14.140625"/>
    <col customWidth="1" hidden="1" min="10" max="10" style="1366" width="9.8515625"/>
    <col customWidth="1" hidden="1" min="11" max="11" style="1366" width="14.7109375"/>
    <col customWidth="1" hidden="1" min="12" max="12" style="2607" width="19.140625"/>
    <col customWidth="1" hidden="1" min="13" max="14" style="1776" width="12.28125"/>
    <col customWidth="1" hidden="1" min="15" max="15" style="1776" width="23.421875"/>
    <col customWidth="1" min="16" max="16" style="2397" width="3.00390625"/>
    <col customWidth="1" min="17" max="18" style="344" width="3.00390625"/>
    <col customWidth="1" min="19" max="19" style="2407" width="12.00390625"/>
    <col customWidth="1" min="20" max="20" style="1635" width="35.00390625"/>
    <col customWidth="1" min="21" max="21" style="1635" width="0.140625"/>
    <col customWidth="1" hidden="1" min="22" max="24" style="1635" width="24.7109375"/>
    <col customWidth="1" hidden="1" min="25" max="25" style="1635" width="11.7109375"/>
    <col customWidth="1" hidden="1" min="26" max="26" style="1635" width="3.7109375"/>
    <col customWidth="1" hidden="1" min="27" max="27" style="1635" width="11.7109375"/>
    <col customWidth="1" hidden="1" min="28" max="28" style="1635" width="8.57421875"/>
    <col customWidth="1" min="29" max="29" style="1635" width="24.7109375"/>
    <col customWidth="1" min="30" max="31" style="1635" width="24.00390625"/>
    <col customWidth="1" min="32" max="32" style="1635" width="11.00390625"/>
    <col customWidth="1" min="33" max="33" style="1635" width="3.7109375"/>
    <col customWidth="1" min="34" max="34" style="1635" width="11.00390625"/>
    <col customWidth="1" hidden="1" min="35" max="35" style="1635" width="8.57421875"/>
    <col customWidth="1" min="36" max="36" style="1635" width="4.00390625"/>
    <col customWidth="1" min="37" max="37" style="1635" width="115.00390625"/>
    <col customWidth="1" min="38" max="42" style="1642" width="10.00390625"/>
    <col hidden="1" min="43" max="43" style="1635" width="10.57421875"/>
  </cols>
  <sheetData>
    <row r="1" ht="22.5" hidden="1" customHeight="1">
      <c r="X1" s="327"/>
      <c r="Y1" s="327"/>
      <c r="AE1" s="327"/>
      <c r="AF1" s="327"/>
      <c r="AQ1" s="1155" t="s">
        <v>14</v>
      </c>
    </row>
    <row r="2" ht="23.25" hidden="1" customHeight="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127</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 xml:space="preserve">Наименование тарифа</v>
      </c>
      <c r="AO2" s="500"/>
      <c r="AP2" s="500"/>
      <c r="AQ2" s="1155">
        <v>0</v>
      </c>
    </row>
    <row r="3" ht="23.25" hidden="1" customHeight="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399</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400</v>
      </c>
      <c r="AM3" s="500"/>
      <c r="AN3" s="500" t="str">
        <f>IF(T3="","",T3)</f>
        <v xml:space="preserve">Территория действия тарифа</v>
      </c>
      <c r="AO3" s="500"/>
      <c r="AP3" s="500"/>
      <c r="AQ3" s="1155">
        <v>0</v>
      </c>
    </row>
    <row r="4" ht="23.25" hidden="1" customHeight="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483</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484</v>
      </c>
      <c r="AM4" s="500"/>
      <c r="AN4" s="500" t="str">
        <f>IF(T4="","",T4)</f>
        <v xml:space="preserve">Наименование централизованной системы холодного водоснабжения</v>
      </c>
      <c r="AO4" s="500"/>
      <c r="AP4" s="500"/>
      <c r="AQ4" s="1155">
        <v>0</v>
      </c>
    </row>
    <row r="5" ht="23.25" hidden="1" customHeight="1">
      <c r="A5" s="1363"/>
      <c r="B5" s="1363"/>
      <c r="C5" s="1363"/>
      <c r="D5" s="1363"/>
      <c r="E5" s="2259"/>
      <c r="F5" s="2259"/>
      <c r="G5" s="2259"/>
      <c r="H5" s="2259"/>
      <c r="I5" s="2256">
        <f>S4&amp;".1"</f>
      </c>
      <c r="J5" s="1363"/>
      <c r="K5" s="1363"/>
      <c r="L5" s="1364"/>
      <c r="P5" s="2257">
        <v>1</v>
      </c>
      <c r="Q5" s="1450"/>
      <c r="R5" s="356"/>
      <c r="S5" s="1457">
        <f>$I5</f>
      </c>
      <c r="T5" s="285" t="s">
        <v>485</v>
      </c>
      <c r="U5" s="300"/>
      <c r="V5" s="2350"/>
      <c r="W5" s="2351"/>
      <c r="X5" s="2351"/>
      <c r="Y5" s="2351"/>
      <c r="Z5" s="2351"/>
      <c r="AA5" s="2351"/>
      <c r="AB5" s="2352"/>
      <c r="AC5" s="2353"/>
      <c r="AD5" s="2354"/>
      <c r="AE5" s="2354"/>
      <c r="AF5" s="2354"/>
      <c r="AG5" s="2354"/>
      <c r="AH5" s="2354"/>
      <c r="AI5" s="2354"/>
      <c r="AJ5" s="2355"/>
      <c r="AK5" s="1258" t="s">
        <v>486</v>
      </c>
      <c r="AM5" s="500"/>
      <c r="AN5" s="500" t="str">
        <f>IF(T5="","",T5)</f>
        <v xml:space="preserve">Наименование признака дифференциации</v>
      </c>
      <c r="AO5" s="500"/>
      <c r="AP5" s="500"/>
      <c r="AQ5" s="1155">
        <v>0</v>
      </c>
    </row>
    <row r="6" ht="23.25" hidden="1" customHeight="1">
      <c r="A6" s="1363"/>
      <c r="B6" s="1363"/>
      <c r="C6" s="1363"/>
      <c r="D6" s="1363"/>
      <c r="E6" s="2259"/>
      <c r="F6" s="2259"/>
      <c r="G6" s="2259"/>
      <c r="H6" s="2259"/>
      <c r="I6" s="2286"/>
      <c r="J6" s="2256">
        <f>I5&amp;".1"</f>
      </c>
      <c r="K6" s="1363"/>
      <c r="L6" s="1364" t="s">
        <v>408</v>
      </c>
      <c r="P6" s="2257"/>
      <c r="Q6" s="2257">
        <v>1</v>
      </c>
      <c r="R6" s="357"/>
      <c r="S6" s="1457">
        <f>$J6</f>
      </c>
      <c r="T6" s="286" t="s">
        <v>409</v>
      </c>
      <c r="U6" s="300"/>
      <c r="V6" s="2245"/>
      <c r="W6" s="2246"/>
      <c r="X6" s="2246"/>
      <c r="Y6" s="2246"/>
      <c r="Z6" s="2246"/>
      <c r="AA6" s="2246"/>
      <c r="AB6" s="2247"/>
      <c r="AC6" s="2245"/>
      <c r="AD6" s="2246"/>
      <c r="AE6" s="2246"/>
      <c r="AF6" s="2246"/>
      <c r="AG6" s="2246"/>
      <c r="AH6" s="2246"/>
      <c r="AI6" s="2246"/>
      <c r="AJ6" s="2247"/>
      <c r="AK6" s="1307" t="s">
        <v>487</v>
      </c>
      <c r="AM6" s="500"/>
      <c r="AN6" s="500" t="str">
        <f>IF(T6="","",T6)</f>
        <v xml:space="preserve">Группа потребителей</v>
      </c>
      <c r="AO6" s="500"/>
      <c r="AP6" s="500"/>
      <c r="AQ6" s="1155">
        <v>0</v>
      </c>
    </row>
    <row r="7" ht="23.25" hidden="1" customHeight="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r="8" ht="14.25" hidden="1" customHeight="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r="9" ht="21" hidden="1" customHeight="1">
      <c r="A9" s="1363"/>
      <c r="B9" s="1363"/>
      <c r="C9" s="1363"/>
      <c r="D9" s="1363"/>
      <c r="E9" s="2259"/>
      <c r="F9" s="2259"/>
      <c r="G9" s="2259"/>
      <c r="H9" s="2259"/>
      <c r="I9" s="2286"/>
      <c r="J9" s="2256"/>
      <c r="K9" s="1363"/>
      <c r="L9" s="1364"/>
      <c r="P9" s="2257"/>
      <c r="Q9" s="2257"/>
      <c r="R9" s="356"/>
      <c r="S9" s="1278"/>
      <c r="T9" s="287" t="s">
        <v>488</v>
      </c>
      <c r="U9" s="367"/>
      <c r="V9" s="367"/>
      <c r="W9" s="367"/>
      <c r="X9" s="367"/>
      <c r="Y9" s="367"/>
      <c r="Z9" s="367"/>
      <c r="AA9" s="367"/>
      <c r="AB9" s="367"/>
      <c r="AC9" s="367"/>
      <c r="AD9" s="367"/>
      <c r="AE9" s="367"/>
      <c r="AF9" s="367"/>
      <c r="AG9" s="367"/>
      <c r="AH9" s="367"/>
      <c r="AI9" s="367"/>
      <c r="AJ9" s="367"/>
      <c r="AK9" s="1258" t="s">
        <v>489</v>
      </c>
      <c r="AM9" s="500"/>
      <c r="AN9" s="500" t="str">
        <f>IF(T9="","",T9)</f>
        <v xml:space="preserve">Добавить значение признака дифференциации</v>
      </c>
      <c r="AO9" s="500"/>
      <c r="AP9" s="500"/>
      <c r="AQ9" s="1155">
        <v>0</v>
      </c>
    </row>
    <row r="10" ht="21" hidden="1" customHeight="1">
      <c r="A10" s="1363"/>
      <c r="B10" s="1363"/>
      <c r="C10" s="1363"/>
      <c r="D10" s="1363"/>
      <c r="E10" s="2259"/>
      <c r="F10" s="2259"/>
      <c r="G10" s="2259"/>
      <c r="H10" s="2259"/>
      <c r="I10" s="2256"/>
      <c r="J10" s="1363"/>
      <c r="K10" s="1363"/>
      <c r="L10" s="1364"/>
      <c r="P10" s="2257"/>
      <c r="Q10" s="1450"/>
      <c r="R10" s="356"/>
      <c r="S10" s="1278"/>
      <c r="T10" s="365" t="s">
        <v>414</v>
      </c>
      <c r="U10" s="367"/>
      <c r="V10" s="367"/>
      <c r="W10" s="367"/>
      <c r="X10" s="367"/>
      <c r="Y10" s="367"/>
      <c r="Z10" s="367"/>
      <c r="AA10" s="367"/>
      <c r="AB10" s="366"/>
      <c r="AC10" s="367"/>
      <c r="AD10" s="367"/>
      <c r="AE10" s="367"/>
      <c r="AF10" s="367"/>
      <c r="AG10" s="367"/>
      <c r="AH10" s="367"/>
      <c r="AI10" s="366"/>
      <c r="AJ10" s="367"/>
      <c r="AK10" s="1440"/>
      <c r="AM10" s="500"/>
      <c r="AN10" s="500" t="str">
        <f>IF(T10="","",T10)</f>
        <v xml:space="preserve">Добавить группу потребителей</v>
      </c>
      <c r="AO10" s="500"/>
      <c r="AP10" s="500"/>
      <c r="AQ10" s="1155">
        <v>0</v>
      </c>
    </row>
    <row r="11" ht="21" hidden="1" customHeight="1">
      <c r="A11" s="1363"/>
      <c r="B11" s="1363"/>
      <c r="C11" s="1363"/>
      <c r="D11" s="1363"/>
      <c r="E11" s="2259"/>
      <c r="F11" s="2259"/>
      <c r="G11" s="2259"/>
      <c r="H11" s="2258"/>
      <c r="I11" s="1363"/>
      <c r="J11" s="1363"/>
      <c r="K11" s="1363"/>
      <c r="L11" s="1364"/>
      <c r="M11" s="1365"/>
      <c r="N11" s="1365"/>
      <c r="O11" s="537"/>
      <c r="P11" s="360"/>
      <c r="Q11" s="375"/>
      <c r="R11" s="355"/>
      <c r="S11" s="1278"/>
      <c r="T11" s="372" t="s">
        <v>490</v>
      </c>
      <c r="U11" s="367"/>
      <c r="V11" s="367"/>
      <c r="W11" s="367"/>
      <c r="X11" s="367"/>
      <c r="Y11" s="367"/>
      <c r="Z11" s="367"/>
      <c r="AA11" s="367"/>
      <c r="AB11" s="366"/>
      <c r="AC11" s="367"/>
      <c r="AD11" s="367"/>
      <c r="AE11" s="367"/>
      <c r="AF11" s="367"/>
      <c r="AG11" s="367"/>
      <c r="AH11" s="367"/>
      <c r="AI11" s="366"/>
      <c r="AJ11" s="367"/>
      <c r="AK11" s="303"/>
      <c r="AM11" s="500"/>
      <c r="AN11" s="500" t="str">
        <f>IF(T11="","",T11)</f>
        <v xml:space="preserve">Добавить наименование признака дифференциации</v>
      </c>
      <c r="AO11" s="500"/>
      <c r="AP11" s="500"/>
      <c r="AQ11" s="1155">
        <v>0</v>
      </c>
    </row>
    <row r="12" s="1642" customFormat="1" ht="14.25" hidden="1" customHeight="1">
      <c r="A12" s="1343"/>
      <c r="B12" s="1343"/>
      <c r="C12" s="1314"/>
      <c r="D12" s="1314"/>
      <c r="E12" s="2259"/>
      <c r="F12" s="2258"/>
      <c r="G12" s="1314"/>
      <c r="H12" s="1314"/>
      <c r="I12" s="1314"/>
      <c r="J12" s="1314"/>
      <c r="K12" s="1314"/>
      <c r="L12" s="1458"/>
      <c r="M12" s="1321"/>
      <c r="N12" s="1321"/>
      <c r="P12" s="1316"/>
      <c r="Q12" s="1317"/>
      <c r="R12" s="1316"/>
      <c r="S12" s="1322"/>
      <c r="T12" s="1325" t="s">
        <v>417</v>
      </c>
      <c r="U12" s="1324"/>
      <c r="V12" s="1324"/>
      <c r="W12" s="1324"/>
      <c r="X12" s="1324"/>
      <c r="Y12" s="1324"/>
      <c r="Z12" s="1324"/>
      <c r="AA12" s="1324"/>
      <c r="AB12" s="1324"/>
      <c r="AC12" s="1324"/>
      <c r="AD12" s="1324"/>
      <c r="AE12" s="1324"/>
      <c r="AF12" s="1324"/>
      <c r="AG12" s="1324"/>
      <c r="AH12" s="1324"/>
      <c r="AI12" s="1324"/>
      <c r="AJ12" s="1324"/>
      <c r="AK12" s="1324"/>
      <c r="AM12" s="789"/>
      <c r="AN12" s="789" t="str">
        <f>IF(T12="","",T12)</f>
        <v xml:space="preserve">Добавить централизованную систему для дифференциации</v>
      </c>
      <c r="AO12" s="789"/>
      <c r="AP12" s="789"/>
      <c r="AQ12" s="518">
        <v>0</v>
      </c>
    </row>
    <row r="13" s="1642" customFormat="1" ht="14.25" hidden="1" customHeight="1">
      <c r="A13" s="1343"/>
      <c r="B13" s="1343"/>
      <c r="C13" s="1343"/>
      <c r="D13" s="1343"/>
      <c r="E13" s="2258"/>
      <c r="F13" s="1343"/>
      <c r="G13" s="1343"/>
      <c r="H13" s="1343"/>
      <c r="I13" s="1343"/>
      <c r="J13" s="1343"/>
      <c r="K13" s="1343"/>
      <c r="L13" s="1346"/>
      <c r="M13" s="1321"/>
      <c r="N13" s="1321"/>
      <c r="O13" s="518"/>
      <c r="P13" s="380"/>
      <c r="Q13" s="1344"/>
      <c r="R13" s="380"/>
      <c r="S13" s="1322"/>
      <c r="T13" s="1325" t="s">
        <v>418</v>
      </c>
      <c r="U13" s="1324"/>
      <c r="V13" s="1324"/>
      <c r="W13" s="1324"/>
      <c r="X13" s="1324"/>
      <c r="Y13" s="1324"/>
      <c r="Z13" s="1324"/>
      <c r="AA13" s="1324"/>
      <c r="AB13" s="1324"/>
      <c r="AC13" s="1324"/>
      <c r="AD13" s="1324"/>
      <c r="AE13" s="1324"/>
      <c r="AF13" s="1324"/>
      <c r="AG13" s="1324"/>
      <c r="AH13" s="1324"/>
      <c r="AI13" s="1324"/>
      <c r="AJ13" s="1324"/>
      <c r="AK13" s="1324"/>
      <c r="AM13" s="500"/>
      <c r="AN13" s="500" t="str">
        <f>IF(T13="","",T13)</f>
        <v xml:space="preserve">Добавить территорию для дифференциации</v>
      </c>
      <c r="AO13" s="500"/>
      <c r="AP13" s="500"/>
      <c r="AQ13" s="511">
        <v>0</v>
      </c>
    </row>
    <row r="14" ht="14.25" hidden="1" customHeight="1">
      <c r="AB14" s="327"/>
      <c r="AI14" s="327"/>
      <c r="AQ14" s="1155">
        <v>0</v>
      </c>
    </row>
    <row r="15" ht="14.25" hidden="1" customHeight="1">
      <c r="AC15" s="1360"/>
      <c r="AD15" s="1360"/>
      <c r="AE15" s="1361"/>
      <c r="AF15" s="2267"/>
      <c r="AG15" s="2268" t="s">
        <v>65</v>
      </c>
      <c r="AH15" s="2267"/>
      <c r="AI15" s="2268" t="s">
        <v>65</v>
      </c>
      <c r="AQ15" s="1155">
        <v>0</v>
      </c>
    </row>
    <row r="16" ht="14.25" hidden="1" customHeight="1">
      <c r="AC16" s="1360"/>
      <c r="AD16" s="1360"/>
      <c r="AE16" s="328" t="str">
        <f>AF15&amp;"-"&amp;AH15</f>
        <v>-</v>
      </c>
      <c r="AF16" s="2268"/>
      <c r="AG16" s="2268"/>
      <c r="AH16" s="2268"/>
      <c r="AI16" s="2268"/>
      <c r="AQ16" s="1155">
        <v>0</v>
      </c>
    </row>
    <row r="17" ht="14.25" hidden="1" customHeight="1">
      <c r="AI17" s="327"/>
      <c r="AQ17" s="1155">
        <v>0</v>
      </c>
    </row>
    <row r="18" s="1366" customFormat="1" ht="22.5" hidden="1" customHeight="1">
      <c r="L18" s="1447"/>
      <c r="M18" s="1362"/>
      <c r="N18" s="1362"/>
      <c r="O18" s="1367" t="s">
        <v>419</v>
      </c>
      <c r="P18" s="1362"/>
      <c r="Q18" s="1371"/>
      <c r="R18" s="1371"/>
      <c r="S18" s="729"/>
      <c r="Y18" s="1367"/>
      <c r="AA18" s="1367"/>
      <c r="AB18" s="1366"/>
      <c r="AF18" s="1367"/>
      <c r="AH18" s="1367"/>
      <c r="AI18" s="1366"/>
      <c r="AL18" s="511"/>
      <c r="AM18" s="511"/>
      <c r="AN18" s="511"/>
      <c r="AO18" s="511"/>
      <c r="AP18" s="511"/>
      <c r="AQ18" s="1160">
        <v>0</v>
      </c>
    </row>
    <row r="19" s="1366" customFormat="1" ht="14.25" hidden="1" customHeight="1">
      <c r="L19" s="1447"/>
      <c r="M19" s="1362"/>
      <c r="N19" s="1362"/>
      <c r="O19" s="1362"/>
      <c r="P19" s="1362"/>
      <c r="Q19" s="1371"/>
      <c r="R19" s="1371"/>
      <c r="S19" s="729"/>
      <c r="AB19" s="1366"/>
      <c r="AI19" s="1366"/>
      <c r="AL19" s="511"/>
      <c r="AM19" s="511"/>
      <c r="AN19" s="511"/>
      <c r="AO19" s="511"/>
      <c r="AP19" s="511"/>
      <c r="AQ19" s="1160">
        <v>0</v>
      </c>
    </row>
    <row r="20" s="1366" customFormat="1" ht="12" hidden="1" customHeight="1">
      <c r="L20" s="1447"/>
      <c r="M20" s="1362"/>
      <c r="N20" s="1362"/>
      <c r="O20" s="1364" t="s">
        <v>420</v>
      </c>
      <c r="P20" s="1362"/>
      <c r="Q20" s="1442"/>
      <c r="R20" s="1442"/>
      <c r="S20" s="729"/>
      <c r="T20" s="1160" t="s">
        <v>421</v>
      </c>
      <c r="Z20" s="186" t="s">
        <v>422</v>
      </c>
      <c r="AB20" s="186" t="s">
        <v>423</v>
      </c>
      <c r="AC20" s="1160" t="s">
        <v>421</v>
      </c>
      <c r="AG20" s="186" t="s">
        <v>424</v>
      </c>
      <c r="AI20" s="186" t="s">
        <v>423</v>
      </c>
      <c r="AQ20" s="1160">
        <v>0</v>
      </c>
    </row>
    <row r="21" ht="14.25" hidden="1" customHeight="1">
      <c r="O21" s="1364"/>
      <c r="AQ21" s="1155">
        <v>0</v>
      </c>
    </row>
    <row r="22" ht="14.25" hidden="1" customHeight="1">
      <c r="O22" s="1364"/>
      <c r="AQ22" s="1155">
        <v>0</v>
      </c>
    </row>
    <row r="23" ht="14.65" customHeight="1">
      <c r="Q23" s="376"/>
      <c r="R23" s="376"/>
      <c r="S23" s="1275"/>
      <c r="T23" s="363"/>
      <c r="U23" s="363"/>
      <c r="V23" s="509"/>
      <c r="W23" s="509"/>
      <c r="X23" s="509"/>
      <c r="Y23" s="509"/>
      <c r="Z23" s="509"/>
      <c r="AA23" s="509"/>
      <c r="AB23" s="509"/>
      <c r="AC23" s="509"/>
      <c r="AD23" s="509"/>
      <c r="AE23" s="509"/>
      <c r="AF23" s="509"/>
      <c r="AG23" s="509"/>
      <c r="AH23" s="509"/>
      <c r="AI23" s="509"/>
      <c r="AQ23" s="1155">
        <v>14</v>
      </c>
    </row>
    <row r="24" ht="14.65" customHeight="1">
      <c r="Q24" s="376"/>
      <c r="R24" s="376"/>
      <c r="S24" s="2248" t="str">
        <f>IF(TEMPLATE_GROUP="P",PT_P_FORM_COLDVSNA_4_NAME_FORM,PT_R_FORM_COLDVSNA_16_NAME_FORM)</f>
        <v xml:space="preserve">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r="25" ht="14.65" customHeight="1">
      <c r="Q25" s="376"/>
      <c r="R25" s="376"/>
      <c r="S25" s="2249" t="str">
        <f>IF(org=0,"Не определено",org)</f>
        <v xml:space="preserve">филиал ПАО "ОГК-2" - Рязанская ГРЭС</v>
      </c>
      <c r="T25" s="2249"/>
      <c r="U25" s="2249"/>
      <c r="V25" s="2249"/>
      <c r="W25" s="2249"/>
      <c r="X25" s="2249"/>
      <c r="Y25" s="2249"/>
      <c r="Z25" s="2249"/>
      <c r="AA25" s="2249"/>
      <c r="AB25" s="2249"/>
      <c r="AC25" s="2249"/>
      <c r="AD25" s="2249"/>
      <c r="AE25" s="2249"/>
      <c r="AF25" s="2249"/>
      <c r="AG25" s="2249"/>
      <c r="AH25" s="2249"/>
      <c r="AI25" s="1243"/>
      <c r="AQ25" s="1155">
        <v>14</v>
      </c>
    </row>
    <row r="26" ht="14.25" hidden="1" customHeight="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r="27" s="1853" customFormat="1" ht="25.5" hidden="1" customHeight="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r="28" s="1853" customFormat="1" ht="18.75" hidden="1" customHeight="1">
      <c r="A28" s="1368"/>
      <c r="B28" s="1368"/>
      <c r="C28" s="1368"/>
      <c r="D28" s="1368"/>
      <c r="E28" s="1368"/>
      <c r="F28" s="1368"/>
      <c r="G28" s="1368"/>
      <c r="H28" s="1368"/>
      <c r="I28" s="1368"/>
      <c r="J28" s="1368"/>
      <c r="K28" s="1368"/>
      <c r="L28" s="1369"/>
      <c r="M28" s="1368"/>
      <c r="N28" s="1368"/>
      <c r="O28" s="1368"/>
      <c r="S28" s="2250" t="s">
        <v>425</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r="29" s="1853" customFormat="1" ht="18.75" hidden="1" customHeight="1">
      <c r="A29" s="1368"/>
      <c r="B29" s="1368"/>
      <c r="C29" s="1368"/>
      <c r="D29" s="1368"/>
      <c r="E29" s="1368"/>
      <c r="F29" s="1368"/>
      <c r="G29" s="1368"/>
      <c r="H29" s="1368"/>
      <c r="I29" s="1368"/>
      <c r="J29" s="1368"/>
      <c r="K29" s="1368"/>
      <c r="L29" s="1369"/>
      <c r="M29" s="1368"/>
      <c r="N29" s="1368"/>
      <c r="O29" s="1368"/>
      <c r="S29" s="2250" t="s">
        <v>426</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r="30" s="1853" customFormat="1" ht="18.75" hidden="1" customHeight="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r="31" ht="14.25" hidden="1" customHeight="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r="32" s="1853" customFormat="1" ht="18.75" hidden="1" customHeight="1">
      <c r="A32" s="1368"/>
      <c r="B32" s="1368"/>
      <c r="C32" s="1368"/>
      <c r="D32" s="1368"/>
      <c r="E32" s="1368"/>
      <c r="F32" s="1368"/>
      <c r="G32" s="1368"/>
      <c r="H32" s="1368"/>
      <c r="I32" s="1368"/>
      <c r="J32" s="1368"/>
      <c r="K32" s="1368"/>
      <c r="L32" s="1369"/>
      <c r="M32" s="1368"/>
      <c r="N32" s="1368"/>
      <c r="O32" s="1368"/>
      <c r="S32" s="2250" t="s">
        <v>427</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r="33" s="1853" customFormat="1" ht="18.75" hidden="1" customHeight="1">
      <c r="A33" s="1368"/>
      <c r="B33" s="1368"/>
      <c r="C33" s="1368"/>
      <c r="D33" s="1368"/>
      <c r="E33" s="1368"/>
      <c r="F33" s="1368"/>
      <c r="G33" s="1368"/>
      <c r="H33" s="1368"/>
      <c r="I33" s="1368"/>
      <c r="J33" s="1368"/>
      <c r="K33" s="1368"/>
      <c r="L33" s="1369"/>
      <c r="M33" s="1368"/>
      <c r="N33" s="1368"/>
      <c r="O33" s="1368"/>
      <c r="S33" s="2250" t="s">
        <v>428</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r="34" s="1853" customFormat="1" ht="1.05" customHeight="1">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429</v>
      </c>
      <c r="AC34" s="326"/>
      <c r="AD34" s="326"/>
      <c r="AE34" s="326"/>
      <c r="AF34" s="326"/>
      <c r="AG34" s="326"/>
      <c r="AH34" s="326"/>
      <c r="AI34" s="278" t="s">
        <v>429</v>
      </c>
      <c r="AL34" s="368"/>
      <c r="AM34" s="368"/>
      <c r="AN34" s="368"/>
      <c r="AO34" s="368"/>
      <c r="AP34" s="368"/>
      <c r="AQ34" s="418">
        <v>1</v>
      </c>
    </row>
    <row r="35" ht="14.65" customHeight="1">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r="36" ht="14.65" customHeight="1">
      <c r="Q36" s="376"/>
      <c r="R36" s="376"/>
      <c r="S36" s="2127" t="s">
        <v>302</v>
      </c>
      <c r="T36" s="2127"/>
      <c r="U36" s="2127"/>
      <c r="V36" s="2127"/>
      <c r="W36" s="2127"/>
      <c r="X36" s="2127"/>
      <c r="Y36" s="2127"/>
      <c r="Z36" s="2127"/>
      <c r="AA36" s="2127"/>
      <c r="AB36" s="2127"/>
      <c r="AC36" s="2127"/>
      <c r="AD36" s="2127"/>
      <c r="AE36" s="2127"/>
      <c r="AF36" s="2127"/>
      <c r="AG36" s="2127"/>
      <c r="AH36" s="2127"/>
      <c r="AI36" s="2127"/>
      <c r="AJ36" s="2127"/>
      <c r="AK36" s="2127" t="s">
        <v>303</v>
      </c>
      <c r="AQ36" s="1155">
        <v>14</v>
      </c>
    </row>
    <row r="37" ht="14.65" customHeight="1">
      <c r="Q37" s="376"/>
      <c r="R37" s="376"/>
      <c r="S37" s="2273" t="s">
        <v>87</v>
      </c>
      <c r="T37" s="2209" t="s">
        <v>430</v>
      </c>
      <c r="U37" s="301"/>
      <c r="V37" s="2274" t="s">
        <v>431</v>
      </c>
      <c r="W37" s="2275"/>
      <c r="X37" s="2275"/>
      <c r="Y37" s="2275"/>
      <c r="Z37" s="2275"/>
      <c r="AA37" s="2276"/>
      <c r="AB37" s="2277" t="s">
        <v>432</v>
      </c>
      <c r="AC37" s="2274" t="s">
        <v>431</v>
      </c>
      <c r="AD37" s="2275"/>
      <c r="AE37" s="2275"/>
      <c r="AF37" s="2275"/>
      <c r="AG37" s="2275"/>
      <c r="AH37" s="2276"/>
      <c r="AI37" s="2277" t="s">
        <v>433</v>
      </c>
      <c r="AJ37" s="2280" t="s">
        <v>434</v>
      </c>
      <c r="AK37" s="2127"/>
      <c r="AQ37" s="1155">
        <v>14</v>
      </c>
    </row>
    <row r="38" ht="35.649999999999999" customHeight="1">
      <c r="Q38" s="376"/>
      <c r="R38" s="376"/>
      <c r="S38" s="2273"/>
      <c r="T38" s="2209"/>
      <c r="U38" s="1031"/>
      <c r="V38" s="1452" t="s">
        <v>491</v>
      </c>
      <c r="W38" s="2262" t="s">
        <v>437</v>
      </c>
      <c r="X38" s="2263"/>
      <c r="Y38" s="2262" t="s">
        <v>438</v>
      </c>
      <c r="Z38" s="2269"/>
      <c r="AA38" s="2263"/>
      <c r="AB38" s="2278"/>
      <c r="AC38" s="1452" t="s">
        <v>491</v>
      </c>
      <c r="AD38" s="2262" t="s">
        <v>437</v>
      </c>
      <c r="AE38" s="2263"/>
      <c r="AF38" s="2262" t="s">
        <v>438</v>
      </c>
      <c r="AG38" s="2269"/>
      <c r="AH38" s="2263"/>
      <c r="AI38" s="2278"/>
      <c r="AJ38" s="2281"/>
      <c r="AK38" s="2127"/>
      <c r="AQ38" s="1155">
        <v>34</v>
      </c>
    </row>
    <row r="39" ht="35.649999999999999" customHeight="1">
      <c r="A39" s="1370"/>
      <c r="B39" s="1370" t="s">
        <v>139</v>
      </c>
      <c r="C39" s="1370" t="s">
        <v>140</v>
      </c>
      <c r="D39" s="1370" t="s">
        <v>141</v>
      </c>
      <c r="E39" s="1364" t="s">
        <v>439</v>
      </c>
      <c r="F39" s="1364" t="s">
        <v>440</v>
      </c>
      <c r="G39" s="1364" t="s">
        <v>441</v>
      </c>
      <c r="H39" s="1364"/>
      <c r="I39" s="1364" t="s">
        <v>492</v>
      </c>
      <c r="J39" s="1364" t="s">
        <v>444</v>
      </c>
      <c r="K39" s="1364" t="s">
        <v>493</v>
      </c>
      <c r="L39" s="1364" t="s">
        <v>420</v>
      </c>
      <c r="Q39" s="376"/>
      <c r="R39" s="376"/>
      <c r="S39" s="2273"/>
      <c r="T39" s="2209"/>
      <c r="U39" s="302"/>
      <c r="V39" s="1452" t="s">
        <v>494</v>
      </c>
      <c r="W39" s="1222" t="s">
        <v>495</v>
      </c>
      <c r="X39" s="1222" t="s">
        <v>496</v>
      </c>
      <c r="Y39" s="1455" t="s">
        <v>448</v>
      </c>
      <c r="Z39" s="2270" t="s">
        <v>449</v>
      </c>
      <c r="AA39" s="2271"/>
      <c r="AB39" s="2279"/>
      <c r="AC39" s="1452" t="s">
        <v>494</v>
      </c>
      <c r="AD39" s="1222" t="s">
        <v>495</v>
      </c>
      <c r="AE39" s="1222" t="s">
        <v>496</v>
      </c>
      <c r="AF39" s="1455" t="s">
        <v>448</v>
      </c>
      <c r="AG39" s="2270" t="s">
        <v>449</v>
      </c>
      <c r="AH39" s="2271"/>
      <c r="AI39" s="2279"/>
      <c r="AJ39" s="2282"/>
      <c r="AK39" s="2127"/>
      <c r="AQ39" s="1155">
        <v>34</v>
      </c>
    </row>
    <row r="40" s="1641" customFormat="1" ht="0" customHeight="1">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r="41" ht="24" customHeight="1">
      <c r="A41" s="1363" t="s">
        <v>238</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127</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 xml:space="preserve">Наименование тарифа</v>
      </c>
      <c r="AO41" s="500"/>
      <c r="AP41" s="500"/>
      <c r="AQ41" s="1155">
        <v>23</v>
      </c>
    </row>
    <row r="42" ht="24" customHeight="1">
      <c r="A42" s="1363" t="s">
        <v>238</v>
      </c>
      <c r="B42" s="1363" t="s">
        <v>239</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399</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400</v>
      </c>
      <c r="AM42" s="500"/>
      <c r="AN42" s="500" t="str">
        <f>IF(T42="","",T42)</f>
        <v xml:space="preserve">Территория действия тарифа</v>
      </c>
      <c r="AO42" s="500"/>
      <c r="AP42" s="500"/>
      <c r="AQ42" s="1155">
        <v>23</v>
      </c>
    </row>
    <row r="43" ht="24" customHeight="1">
      <c r="A43" s="1363" t="s">
        <v>238</v>
      </c>
      <c r="B43" s="1363" t="s">
        <v>239</v>
      </c>
      <c r="C43" s="1363" t="s">
        <v>240</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483</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484</v>
      </c>
      <c r="AM43" s="500"/>
      <c r="AN43" s="500" t="str">
        <f>IF(T43="","",T43)</f>
        <v xml:space="preserve">Наименование централизованной системы холодного водоснабжения</v>
      </c>
      <c r="AO43" s="500"/>
      <c r="AP43" s="500"/>
      <c r="AQ43" s="1155">
        <v>23</v>
      </c>
    </row>
    <row r="44" ht="24" customHeight="1">
      <c r="A44" s="1363" t="s">
        <v>238</v>
      </c>
      <c r="B44" s="1363" t="s">
        <v>239</v>
      </c>
      <c r="C44" s="1363" t="s">
        <v>240</v>
      </c>
      <c r="D44" s="1363" t="s">
        <v>499</v>
      </c>
      <c r="E44" s="2259"/>
      <c r="F44" s="2259"/>
      <c r="G44" s="2259"/>
      <c r="H44" s="2259"/>
      <c r="I44" s="2256" t="str">
        <f>S43&amp;".1"</f>
        <v>...1</v>
      </c>
      <c r="J44" s="1363"/>
      <c r="K44" s="1363"/>
      <c r="L44" s="1364"/>
      <c r="P44" s="2257">
        <v>1</v>
      </c>
      <c r="Q44" s="1450"/>
      <c r="R44" s="356"/>
      <c r="S44" s="1457" t="str">
        <f>$I44</f>
        <v>...1</v>
      </c>
      <c r="T44" s="285" t="s">
        <v>485</v>
      </c>
      <c r="U44" s="300"/>
      <c r="V44" s="2350"/>
      <c r="W44" s="2351"/>
      <c r="X44" s="2351"/>
      <c r="Y44" s="2351"/>
      <c r="Z44" s="2351"/>
      <c r="AA44" s="2351"/>
      <c r="AB44" s="2352"/>
      <c r="AC44" s="2353"/>
      <c r="AD44" s="2354"/>
      <c r="AE44" s="2354"/>
      <c r="AF44" s="2354"/>
      <c r="AG44" s="2354"/>
      <c r="AH44" s="2354"/>
      <c r="AI44" s="2354"/>
      <c r="AJ44" s="2355"/>
      <c r="AK44" s="1258" t="s">
        <v>486</v>
      </c>
      <c r="AM44" s="500"/>
      <c r="AN44" s="500" t="str">
        <f>IF(T44="","",T44)</f>
        <v xml:space="preserve">Наименование признака дифференциации</v>
      </c>
      <c r="AO44" s="500"/>
      <c r="AP44" s="500"/>
      <c r="AQ44" s="1155">
        <v>23</v>
      </c>
    </row>
    <row r="45" ht="24" customHeight="1">
      <c r="A45" s="1363" t="s">
        <v>238</v>
      </c>
      <c r="B45" s="1363" t="s">
        <v>239</v>
      </c>
      <c r="C45" s="1363" t="s">
        <v>240</v>
      </c>
      <c r="D45" s="1363" t="s">
        <v>499</v>
      </c>
      <c r="E45" s="2259"/>
      <c r="F45" s="2259"/>
      <c r="G45" s="2259"/>
      <c r="H45" s="2259"/>
      <c r="I45" s="2286"/>
      <c r="J45" s="2256" t="str">
        <f>I44&amp;".1"</f>
        <v>...1.1</v>
      </c>
      <c r="K45" s="1363"/>
      <c r="L45" s="1364" t="s">
        <v>408</v>
      </c>
      <c r="P45" s="2257"/>
      <c r="Q45" s="2257">
        <v>1</v>
      </c>
      <c r="R45" s="357"/>
      <c r="S45" s="1457" t="str">
        <f>$J45</f>
        <v>...1.1</v>
      </c>
      <c r="T45" s="286" t="s">
        <v>409</v>
      </c>
      <c r="U45" s="300"/>
      <c r="V45" s="2245"/>
      <c r="W45" s="2246"/>
      <c r="X45" s="2246"/>
      <c r="Y45" s="2246"/>
      <c r="Z45" s="2246"/>
      <c r="AA45" s="2246"/>
      <c r="AB45" s="2247"/>
      <c r="AC45" s="2245"/>
      <c r="AD45" s="2246"/>
      <c r="AE45" s="2246"/>
      <c r="AF45" s="2246"/>
      <c r="AG45" s="2246"/>
      <c r="AH45" s="2246"/>
      <c r="AI45" s="2246"/>
      <c r="AJ45" s="2247"/>
      <c r="AK45" s="1307" t="s">
        <v>487</v>
      </c>
      <c r="AM45" s="500"/>
      <c r="AN45" s="500" t="str">
        <f>IF(T45="","",T45)</f>
        <v xml:space="preserve">Группа потребителей</v>
      </c>
      <c r="AO45" s="500"/>
      <c r="AP45" s="500"/>
      <c r="AQ45" s="1155">
        <v>23</v>
      </c>
    </row>
    <row r="46" ht="24" customHeight="1">
      <c r="A46" s="1363" t="s">
        <v>238</v>
      </c>
      <c r="B46" s="1363" t="s">
        <v>239</v>
      </c>
      <c r="C46" s="1363" t="s">
        <v>240</v>
      </c>
      <c r="D46" s="1363" t="s">
        <v>499</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r="47" ht="0" customHeight="1">
      <c r="A47" s="1363" t="s">
        <v>238</v>
      </c>
      <c r="B47" s="1363" t="s">
        <v>239</v>
      </c>
      <c r="C47" s="1363" t="s">
        <v>240</v>
      </c>
      <c r="D47" s="1363" t="s">
        <v>499</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r="48" ht="21" customHeight="1">
      <c r="A48" s="1363" t="s">
        <v>238</v>
      </c>
      <c r="B48" s="1363" t="s">
        <v>239</v>
      </c>
      <c r="C48" s="1363" t="s">
        <v>240</v>
      </c>
      <c r="D48" s="1363" t="s">
        <v>499</v>
      </c>
      <c r="E48" s="2259"/>
      <c r="F48" s="2259"/>
      <c r="G48" s="2259"/>
      <c r="H48" s="2259"/>
      <c r="I48" s="2286"/>
      <c r="J48" s="2256"/>
      <c r="K48" s="1363"/>
      <c r="L48" s="1364"/>
      <c r="P48" s="2257"/>
      <c r="Q48" s="2257"/>
      <c r="R48" s="356"/>
      <c r="S48" s="1278"/>
      <c r="T48" s="287" t="s">
        <v>488</v>
      </c>
      <c r="U48" s="367"/>
      <c r="V48" s="367"/>
      <c r="W48" s="367"/>
      <c r="X48" s="367"/>
      <c r="Y48" s="367"/>
      <c r="Z48" s="367"/>
      <c r="AA48" s="367"/>
      <c r="AB48" s="367"/>
      <c r="AC48" s="367"/>
      <c r="AD48" s="367"/>
      <c r="AE48" s="367"/>
      <c r="AF48" s="367"/>
      <c r="AG48" s="367"/>
      <c r="AH48" s="367"/>
      <c r="AI48" s="367"/>
      <c r="AJ48" s="367"/>
      <c r="AK48" s="1258" t="s">
        <v>489</v>
      </c>
      <c r="AM48" s="500"/>
      <c r="AN48" s="500" t="str">
        <f>IF(T48="","",T48)</f>
        <v xml:space="preserve">Добавить значение признака дифференциации</v>
      </c>
      <c r="AO48" s="500"/>
      <c r="AP48" s="500"/>
      <c r="AQ48" s="1155">
        <v>20</v>
      </c>
    </row>
    <row r="49" ht="22" customHeight="1">
      <c r="A49" s="1363" t="s">
        <v>238</v>
      </c>
      <c r="B49" s="1363" t="s">
        <v>239</v>
      </c>
      <c r="C49" s="1363" t="s">
        <v>240</v>
      </c>
      <c r="D49" s="1363" t="s">
        <v>499</v>
      </c>
      <c r="E49" s="2259"/>
      <c r="F49" s="2259"/>
      <c r="G49" s="2259"/>
      <c r="H49" s="2259"/>
      <c r="I49" s="2256"/>
      <c r="J49" s="1363"/>
      <c r="K49" s="1363"/>
      <c r="L49" s="1364"/>
      <c r="P49" s="2257"/>
      <c r="Q49" s="1450"/>
      <c r="R49" s="356"/>
      <c r="S49" s="1278"/>
      <c r="T49" s="365" t="s">
        <v>414</v>
      </c>
      <c r="U49" s="367"/>
      <c r="V49" s="367"/>
      <c r="W49" s="367"/>
      <c r="X49" s="367"/>
      <c r="Y49" s="367"/>
      <c r="Z49" s="367"/>
      <c r="AA49" s="367"/>
      <c r="AB49" s="366"/>
      <c r="AC49" s="367"/>
      <c r="AD49" s="367"/>
      <c r="AE49" s="367"/>
      <c r="AF49" s="367"/>
      <c r="AG49" s="367"/>
      <c r="AH49" s="367"/>
      <c r="AI49" s="366"/>
      <c r="AJ49" s="367"/>
      <c r="AK49" s="1440"/>
      <c r="AM49" s="500"/>
      <c r="AN49" s="500" t="str">
        <f>IF(T49="","",T49)</f>
        <v xml:space="preserve">Добавить группу потребителей</v>
      </c>
      <c r="AO49" s="500"/>
      <c r="AP49" s="500"/>
      <c r="AQ49" s="1155">
        <v>21</v>
      </c>
    </row>
    <row r="50" ht="22" customHeight="1">
      <c r="A50" s="1363" t="s">
        <v>238</v>
      </c>
      <c r="B50" s="1363" t="s">
        <v>239</v>
      </c>
      <c r="C50" s="1363" t="s">
        <v>240</v>
      </c>
      <c r="D50" s="1363" t="s">
        <v>499</v>
      </c>
      <c r="E50" s="2259"/>
      <c r="F50" s="2259"/>
      <c r="G50" s="2259"/>
      <c r="H50" s="2258"/>
      <c r="I50" s="1363"/>
      <c r="J50" s="1363"/>
      <c r="K50" s="1363"/>
      <c r="L50" s="1364"/>
      <c r="M50" s="1365"/>
      <c r="N50" s="1365"/>
      <c r="O50" s="537"/>
      <c r="P50" s="360"/>
      <c r="Q50" s="375"/>
      <c r="R50" s="355"/>
      <c r="S50" s="1278"/>
      <c r="T50" s="372" t="s">
        <v>490</v>
      </c>
      <c r="U50" s="367"/>
      <c r="V50" s="367"/>
      <c r="W50" s="367"/>
      <c r="X50" s="367"/>
      <c r="Y50" s="367"/>
      <c r="Z50" s="367"/>
      <c r="AA50" s="367"/>
      <c r="AB50" s="366"/>
      <c r="AC50" s="367"/>
      <c r="AD50" s="367"/>
      <c r="AE50" s="367"/>
      <c r="AF50" s="367"/>
      <c r="AG50" s="367"/>
      <c r="AH50" s="367"/>
      <c r="AI50" s="366"/>
      <c r="AJ50" s="367"/>
      <c r="AK50" s="303"/>
      <c r="AM50" s="500"/>
      <c r="AN50" s="500" t="str">
        <f>IF(T50="","",T50)</f>
        <v xml:space="preserve">Добавить наименование признака дифференциации</v>
      </c>
      <c r="AO50" s="500"/>
      <c r="AP50" s="500"/>
      <c r="AQ50" s="1155">
        <v>21</v>
      </c>
    </row>
    <row r="51" s="1642" customFormat="1" ht="0" customHeight="1">
      <c r="A51" s="1343" t="s">
        <v>238</v>
      </c>
      <c r="B51" s="1343" t="s">
        <v>239</v>
      </c>
      <c r="C51" s="1314"/>
      <c r="D51" s="1314"/>
      <c r="E51" s="2259"/>
      <c r="F51" s="2258"/>
      <c r="G51" s="1314"/>
      <c r="H51" s="1314"/>
      <c r="I51" s="1314"/>
      <c r="J51" s="1314"/>
      <c r="K51" s="1314"/>
      <c r="L51" s="1458"/>
      <c r="M51" s="1321"/>
      <c r="N51" s="1321"/>
      <c r="P51" s="1316"/>
      <c r="Q51" s="1317"/>
      <c r="R51" s="1316"/>
      <c r="S51" s="1322"/>
      <c r="T51" s="1325" t="s">
        <v>417</v>
      </c>
      <c r="U51" s="1324"/>
      <c r="V51" s="1324"/>
      <c r="W51" s="1324"/>
      <c r="X51" s="1324"/>
      <c r="Y51" s="1324"/>
      <c r="Z51" s="1324"/>
      <c r="AA51" s="1324"/>
      <c r="AB51" s="1324"/>
      <c r="AC51" s="1324"/>
      <c r="AD51" s="1324"/>
      <c r="AE51" s="1324"/>
      <c r="AF51" s="1324"/>
      <c r="AG51" s="1324"/>
      <c r="AH51" s="1324"/>
      <c r="AI51" s="1324"/>
      <c r="AJ51" s="1324"/>
      <c r="AK51" s="1324"/>
      <c r="AM51" s="789"/>
      <c r="AN51" s="789" t="str">
        <f>IF(T51="","",T51)</f>
        <v xml:space="preserve">Добавить централизованную систему для дифференциации</v>
      </c>
      <c r="AO51" s="789"/>
      <c r="AP51" s="789"/>
      <c r="AQ51" s="518">
        <v>0</v>
      </c>
    </row>
    <row r="52" s="1642" customFormat="1" ht="0" customHeight="1">
      <c r="A52" s="1343" t="s">
        <v>238</v>
      </c>
      <c r="B52" s="1343"/>
      <c r="C52" s="1343"/>
      <c r="D52" s="1343"/>
      <c r="E52" s="2258"/>
      <c r="F52" s="1343"/>
      <c r="G52" s="1343"/>
      <c r="H52" s="1343"/>
      <c r="I52" s="1343"/>
      <c r="J52" s="1343"/>
      <c r="K52" s="1343"/>
      <c r="L52" s="1346"/>
      <c r="M52" s="1321"/>
      <c r="N52" s="1321"/>
      <c r="O52" s="518"/>
      <c r="P52" s="380"/>
      <c r="Q52" s="1344"/>
      <c r="R52" s="380"/>
      <c r="S52" s="1322"/>
      <c r="T52" s="1325" t="s">
        <v>418</v>
      </c>
      <c r="U52" s="1324"/>
      <c r="V52" s="1324"/>
      <c r="W52" s="1324"/>
      <c r="X52" s="1324"/>
      <c r="Y52" s="1324"/>
      <c r="Z52" s="1324"/>
      <c r="AA52" s="1324"/>
      <c r="AB52" s="1324"/>
      <c r="AC52" s="1324"/>
      <c r="AD52" s="1324"/>
      <c r="AE52" s="1324"/>
      <c r="AF52" s="1324"/>
      <c r="AG52" s="1324"/>
      <c r="AH52" s="1324"/>
      <c r="AI52" s="1324"/>
      <c r="AJ52" s="1324"/>
      <c r="AK52" s="1324"/>
      <c r="AM52" s="500"/>
      <c r="AN52" s="500" t="str">
        <f>IF(T52="","",T52)</f>
        <v xml:space="preserve">Добавить территорию для дифференциации</v>
      </c>
      <c r="AO52" s="500"/>
      <c r="AP52" s="500"/>
      <c r="AQ52" s="511">
        <v>0</v>
      </c>
    </row>
    <row r="53" s="1642" customFormat="1" ht="0" customHeight="1">
      <c r="A53" s="1314"/>
      <c r="B53" s="1314"/>
      <c r="C53" s="1314"/>
      <c r="D53" s="1314"/>
      <c r="E53" s="1343"/>
      <c r="F53" s="1314"/>
      <c r="G53" s="1314"/>
      <c r="H53" s="1314"/>
      <c r="I53" s="1314"/>
      <c r="J53" s="1314"/>
      <c r="K53" s="1314"/>
      <c r="L53" s="1458"/>
      <c r="M53" s="1321"/>
      <c r="N53" s="1321"/>
      <c r="P53" s="1316"/>
      <c r="Q53" s="1317"/>
      <c r="R53" s="1316"/>
      <c r="S53" s="1322"/>
      <c r="T53" s="1325" t="s">
        <v>450</v>
      </c>
      <c r="U53" s="1324"/>
      <c r="V53" s="1324"/>
      <c r="W53" s="1324"/>
      <c r="X53" s="1324"/>
      <c r="Y53" s="1324"/>
      <c r="Z53" s="1324"/>
      <c r="AA53" s="1324"/>
      <c r="AB53" s="1324"/>
      <c r="AC53" s="1324"/>
      <c r="AD53" s="1324"/>
      <c r="AE53" s="1324"/>
      <c r="AF53" s="1324"/>
      <c r="AG53" s="1324"/>
      <c r="AH53" s="1324"/>
      <c r="AI53" s="1324"/>
      <c r="AJ53" s="1324"/>
      <c r="AK53" s="1324"/>
      <c r="AM53" s="789"/>
      <c r="AN53" s="789" t="str">
        <f>IF(T53="","",T53)</f>
        <v xml:space="preserve">Добавить наименование тарифа</v>
      </c>
      <c r="AO53" s="789"/>
      <c r="AP53" s="789"/>
      <c r="AQ53" s="518">
        <v>0</v>
      </c>
    </row>
    <row r="54" ht="11.5" customHeight="1">
      <c r="M54" s="1160"/>
      <c r="N54" s="1160"/>
      <c r="O54" s="537"/>
      <c r="P54" s="1155"/>
      <c r="Q54" s="1155"/>
      <c r="R54" s="1155"/>
      <c r="S54" s="1155"/>
      <c r="AL54" s="1155"/>
      <c r="AM54" s="1155"/>
      <c r="AN54" s="1155"/>
      <c r="AO54" s="1155"/>
      <c r="AP54" s="1155"/>
      <c r="AQ54" s="1155">
        <v>11</v>
      </c>
    </row>
    <row r="55" ht="14.65" customHeight="1">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r="56" ht="14.65" customHeight="1">
      <c r="O56" s="537"/>
      <c r="AQ56" s="1155">
        <v>14</v>
      </c>
    </row>
    <row r="57" ht="14.65" customHeight="1">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r="58" ht="22.5" hidden="1" customHeight="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autoFilter="0" deleteColumns="0" deleteRows="0" formatColumns="0" formatRows="0" insertColumns="1" insertRows="0" sort="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4">
    <dataValidation sqref="S131116:AK131122 S196652:AK196658 S262188:AK262194 S327724:AK327730 S393260:AK393266 S458796:AK458802 S524332:AK524338 S589868:AK589874 S655404:AK655410 S720940:AK720946 S786476:AK786482 S852012:AK852018 S917548:AK917554 S983084:AK983090 S65580:AK65586" allowBlank="1"/>
    <dataValidation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allowBlank="1" prompt="Для выбора выполните двойной щелчок левой клавиши мыши по соответствующей ячейке." showErrorMessage="1" showInputMessage="1"/>
    <dataValidation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allowBlank="1" prompt="Выберите дату из календаря (иконка справа от указанной ячейки), либо введите дату непосредственно в ячейку в формате - 'ДД.ММ.ГГГГ'." showErrorMessage="1" showInputMessage="1"/>
    <dataValidation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allowBlank="1" promptTitle="checkPeriodRange"/>
  </dataValidations>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x14:dataValidation xr:uid="{00610045-003C-49A1-AF36-00AF00D300B3}" type="list" allowBlank="1" error="Выберите значение из списка" errorTitle="Ошибка" prompt="Выберите значение из списка" showInputMessage="1">
          <x14:formula1>
            <xm:f>kind_of_cons</xm:f>
          </x14:formula1>
          <xm:sqref>V983081:AJ983081 V65577:AJ65577 V131113:AJ131113 V196649:AJ196649 V262185:AJ262185 V327721:AJ327721 V393257:AJ393257 V458793:AJ458793 V524329:AJ524329 V589865:AJ589865 V655401:AJ655401 V720937:AJ720937 V786473:AJ786473 V852009:AJ852009 V917545:AJ917545</xm:sqref>
        </x14:dataValidation>
        <x14:dataValidation xr:uid="{0061009E-0042-4758-AB1E-00C0009C00C1}" type="list" allowBlank="1" error="Выберите значение из списка" errorTitle="Ошибка" showErrorMessage="1" showInputMessage="1">
          <x14:formula1>
            <xm:f>kind_of_heat_transfer</xm:f>
          </x14:formula1>
          <xm:sqref>T65578 T131114 T196650 T262186 T327722 T393258 T458794 T524330 T589866 T655402 T720938 T786474 T852010 T917546 T983082</xm:sqref>
        </x14:dataValidation>
        <x14:dataValidation xr:uid="{00060049-00C4-4D81-9777-00D0006A00AD}" type="textLength" allowBlank="1" error="Допускается ввод не более 900 символов!" errorTitle="Ошибка" operator="lessThanOrEqual" showErrorMessage="1" showInputMessage="1">
          <x14:formula1>
            <xm:f>900</xm:f>
          </x14:formula1>
          <xm: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xm:sqref>
        </x14:dataValidation>
        <x14:dataValidation xr:uid="{00BA00C5-00A6-4806-892F-0008007F004E}" type="list" allowBlank="1" error="Выберите значение из списка" errorTitle="Ошибка" showErrorMessage="1" showInputMessage="1">
          <x14:formula1>
            <xm:f>kind_of_scheme_in</xm:f>
          </x14:formula1>
          <xm:sqref>V983080 V65576 V131112 V196648 V262184 V327720 V393256 V458792 V524328 V589864 V655400 V720936 V786472 V852008 V917544 AC983080 AC65576 AC131112 AC196648 AC262184 AC327720 AC393256 AC458792 AC524328 AC589864 AC655400 AC720936 AC786472 AC852008 AC917544</xm:sqref>
        </x14:dataValidation>
      </x14:dataValidations>
    </ext>
  </extLs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sheetPr>
  <sheetViews>
    <sheetView showGridLines="0" topLeftCell="A1" zoomScale="90" workbookViewId="0">
      <selection activeCell="A1" sqref="A1"/>
    </sheetView>
  </sheetViews>
  <sheetFormatPr defaultColWidth="10.57421875" defaultRowHeight="14.25" customHeight="1"/>
  <cols>
    <col hidden="1" min="1" max="1" style="1366" width="10.57421875"/>
    <col customWidth="1" hidden="1" min="2" max="2" style="1366" width="11.00390625"/>
    <col hidden="1" min="3" max="3" style="1366" width="10.57421875"/>
    <col customWidth="1" hidden="1" min="4" max="4" style="1366" width="11.8515625"/>
    <col customWidth="1" hidden="1" min="5" max="5" style="1366" width="10.00390625"/>
    <col customWidth="1" hidden="1" min="6" max="6" style="1366" width="8.7109375"/>
    <col customWidth="1" hidden="1" min="7" max="7" style="1366" width="7.57421875"/>
    <col customWidth="1" hidden="1" min="8" max="8" style="1366" width="11.421875"/>
    <col customWidth="1" hidden="1" min="9" max="9" style="1366" width="14.140625"/>
    <col customWidth="1" hidden="1" min="10" max="10" style="1366" width="9.8515625"/>
    <col customWidth="1" hidden="1" min="11" max="11" style="1366" width="14.7109375"/>
    <col customWidth="1" hidden="1" min="12" max="12" style="2607" width="19.140625"/>
    <col customWidth="1" hidden="1" min="13" max="14" style="1776" width="12.28125"/>
    <col customWidth="1" hidden="1" min="15" max="15" style="1776" width="23.421875"/>
    <col customWidth="1" min="16" max="16" style="2397" width="3.00390625"/>
    <col customWidth="1" min="17" max="18" style="344" width="3.00390625"/>
    <col customWidth="1" min="19" max="19" style="2407" width="12.00390625"/>
    <col customWidth="1" min="20" max="20" style="1635" width="35.00390625"/>
    <col customWidth="1" min="21" max="21" style="1635" width="0.140625"/>
    <col customWidth="1" hidden="1" min="22" max="24" style="1635" width="24.7109375"/>
    <col customWidth="1" hidden="1" min="25" max="25" style="1635" width="11.7109375"/>
    <col customWidth="1" hidden="1" min="26" max="26" style="1635" width="3.7109375"/>
    <col customWidth="1" hidden="1" min="27" max="27" style="1635" width="11.7109375"/>
    <col customWidth="1" hidden="1" min="28" max="28" style="1635" width="8.57421875"/>
    <col customWidth="1" min="29" max="29" style="1635" width="24.7109375"/>
    <col customWidth="1" min="30" max="31" style="1635" width="24.00390625"/>
    <col customWidth="1" min="32" max="32" style="1635" width="11.00390625"/>
    <col customWidth="1" min="33" max="33" style="1635" width="3.7109375"/>
    <col customWidth="1" min="34" max="34" style="1635" width="11.00390625"/>
    <col customWidth="1" hidden="1" min="35" max="35" style="1635" width="8.57421875"/>
    <col customWidth="1" min="36" max="36" style="1635" width="4.00390625"/>
    <col customWidth="1" min="37" max="37" style="1635" width="115.00390625"/>
    <col customWidth="1" min="38" max="42" style="1642" width="10.00390625"/>
    <col hidden="1" min="43" max="43" style="1635" width="10.57421875"/>
  </cols>
  <sheetData>
    <row r="1" ht="22.5" hidden="1" customHeight="1">
      <c r="X1" s="327"/>
      <c r="Y1" s="327"/>
      <c r="AE1" s="327"/>
      <c r="AF1" s="327"/>
      <c r="AQ1" s="1155" t="s">
        <v>14</v>
      </c>
    </row>
    <row r="2" ht="23.25" hidden="1" customHeight="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127</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 xml:space="preserve">Наименование тарифа</v>
      </c>
      <c r="AO2" s="500"/>
      <c r="AP2" s="500"/>
      <c r="AQ2" s="1155">
        <v>0</v>
      </c>
    </row>
    <row r="3" ht="23.25" hidden="1" customHeight="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399</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400</v>
      </c>
      <c r="AM3" s="500"/>
      <c r="AN3" s="500" t="str">
        <f>IF(T3="","",T3)</f>
        <v xml:space="preserve">Территория действия тарифа</v>
      </c>
      <c r="AO3" s="500"/>
      <c r="AP3" s="500"/>
      <c r="AQ3" s="1155">
        <v>0</v>
      </c>
    </row>
    <row r="4" ht="23.25" hidden="1" customHeight="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483</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484</v>
      </c>
      <c r="AM4" s="500"/>
      <c r="AN4" s="500" t="str">
        <f>IF(T4="","",T4)</f>
        <v xml:space="preserve">Наименование централизованной системы холодного водоснабжения</v>
      </c>
      <c r="AO4" s="500"/>
      <c r="AP4" s="500"/>
      <c r="AQ4" s="1155">
        <v>0</v>
      </c>
    </row>
    <row r="5" ht="23.25" hidden="1" customHeight="1">
      <c r="A5" s="1363"/>
      <c r="B5" s="1363"/>
      <c r="C5" s="1363"/>
      <c r="D5" s="1363"/>
      <c r="E5" s="2259"/>
      <c r="F5" s="2259"/>
      <c r="G5" s="2259"/>
      <c r="H5" s="2259"/>
      <c r="I5" s="2256">
        <f>S4&amp;".1"</f>
      </c>
      <c r="J5" s="1363"/>
      <c r="K5" s="1363"/>
      <c r="L5" s="1364"/>
      <c r="P5" s="2257">
        <v>1</v>
      </c>
      <c r="Q5" s="1450"/>
      <c r="R5" s="356"/>
      <c r="S5" s="1457">
        <f>$I5</f>
      </c>
      <c r="T5" s="285" t="s">
        <v>485</v>
      </c>
      <c r="U5" s="300"/>
      <c r="V5" s="2350"/>
      <c r="W5" s="2351"/>
      <c r="X5" s="2351"/>
      <c r="Y5" s="2351"/>
      <c r="Z5" s="2351"/>
      <c r="AA5" s="2351"/>
      <c r="AB5" s="2352"/>
      <c r="AC5" s="2353"/>
      <c r="AD5" s="2354"/>
      <c r="AE5" s="2354"/>
      <c r="AF5" s="2354"/>
      <c r="AG5" s="2354"/>
      <c r="AH5" s="2354"/>
      <c r="AI5" s="2354"/>
      <c r="AJ5" s="2355"/>
      <c r="AK5" s="1258" t="s">
        <v>486</v>
      </c>
      <c r="AM5" s="500"/>
      <c r="AN5" s="500" t="str">
        <f>IF(T5="","",T5)</f>
        <v xml:space="preserve">Наименование признака дифференциации</v>
      </c>
      <c r="AO5" s="500"/>
      <c r="AP5" s="500"/>
      <c r="AQ5" s="1155">
        <v>0</v>
      </c>
    </row>
    <row r="6" ht="23.25" hidden="1" customHeight="1">
      <c r="A6" s="1363"/>
      <c r="B6" s="1363"/>
      <c r="C6" s="1363"/>
      <c r="D6" s="1363"/>
      <c r="E6" s="2259"/>
      <c r="F6" s="2259"/>
      <c r="G6" s="2259"/>
      <c r="H6" s="2259"/>
      <c r="I6" s="2286"/>
      <c r="J6" s="2256">
        <f>I5&amp;".1"</f>
      </c>
      <c r="K6" s="1363"/>
      <c r="L6" s="1364" t="s">
        <v>408</v>
      </c>
      <c r="P6" s="2257"/>
      <c r="Q6" s="2257">
        <v>1</v>
      </c>
      <c r="R6" s="357"/>
      <c r="S6" s="1457">
        <f>$J6</f>
      </c>
      <c r="T6" s="286" t="s">
        <v>409</v>
      </c>
      <c r="U6" s="300"/>
      <c r="V6" s="2245"/>
      <c r="W6" s="2246"/>
      <c r="X6" s="2246"/>
      <c r="Y6" s="2246"/>
      <c r="Z6" s="2246"/>
      <c r="AA6" s="2246"/>
      <c r="AB6" s="2247"/>
      <c r="AC6" s="2245"/>
      <c r="AD6" s="2246"/>
      <c r="AE6" s="2246"/>
      <c r="AF6" s="2246"/>
      <c r="AG6" s="2246"/>
      <c r="AH6" s="2246"/>
      <c r="AI6" s="2246"/>
      <c r="AJ6" s="2247"/>
      <c r="AK6" s="1307" t="s">
        <v>487</v>
      </c>
      <c r="AM6" s="500"/>
      <c r="AN6" s="500" t="str">
        <f>IF(T6="","",T6)</f>
        <v xml:space="preserve">Группа потребителей</v>
      </c>
      <c r="AO6" s="500"/>
      <c r="AP6" s="500"/>
      <c r="AQ6" s="1155">
        <v>0</v>
      </c>
    </row>
    <row r="7" ht="23.25" hidden="1" customHeight="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r="8" ht="14.25" hidden="1" customHeight="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r="9" ht="21" hidden="1" customHeight="1">
      <c r="A9" s="1363"/>
      <c r="B9" s="1363"/>
      <c r="C9" s="1363"/>
      <c r="D9" s="1363"/>
      <c r="E9" s="2259"/>
      <c r="F9" s="2259"/>
      <c r="G9" s="2259"/>
      <c r="H9" s="2259"/>
      <c r="I9" s="2286"/>
      <c r="J9" s="2256"/>
      <c r="K9" s="1363"/>
      <c r="L9" s="1364"/>
      <c r="P9" s="2257"/>
      <c r="Q9" s="2257"/>
      <c r="R9" s="356"/>
      <c r="S9" s="1278"/>
      <c r="T9" s="287" t="s">
        <v>488</v>
      </c>
      <c r="U9" s="367"/>
      <c r="V9" s="367"/>
      <c r="W9" s="367"/>
      <c r="X9" s="367"/>
      <c r="Y9" s="367"/>
      <c r="Z9" s="367"/>
      <c r="AA9" s="367"/>
      <c r="AB9" s="367"/>
      <c r="AC9" s="367"/>
      <c r="AD9" s="367"/>
      <c r="AE9" s="367"/>
      <c r="AF9" s="367"/>
      <c r="AG9" s="367"/>
      <c r="AH9" s="367"/>
      <c r="AI9" s="367"/>
      <c r="AJ9" s="367"/>
      <c r="AK9" s="1258" t="s">
        <v>489</v>
      </c>
      <c r="AM9" s="500"/>
      <c r="AN9" s="500" t="str">
        <f>IF(T9="","",T9)</f>
        <v xml:space="preserve">Добавить значение признака дифференциации</v>
      </c>
      <c r="AO9" s="500"/>
      <c r="AP9" s="500"/>
      <c r="AQ9" s="1155">
        <v>0</v>
      </c>
    </row>
    <row r="10" ht="21" hidden="1" customHeight="1">
      <c r="A10" s="1363"/>
      <c r="B10" s="1363"/>
      <c r="C10" s="1363"/>
      <c r="D10" s="1363"/>
      <c r="E10" s="2259"/>
      <c r="F10" s="2259"/>
      <c r="G10" s="2259"/>
      <c r="H10" s="2259"/>
      <c r="I10" s="2256"/>
      <c r="J10" s="1363"/>
      <c r="K10" s="1363"/>
      <c r="L10" s="1364"/>
      <c r="P10" s="2257"/>
      <c r="Q10" s="1450"/>
      <c r="R10" s="356"/>
      <c r="S10" s="1278"/>
      <c r="T10" s="365" t="s">
        <v>414</v>
      </c>
      <c r="U10" s="367"/>
      <c r="V10" s="367"/>
      <c r="W10" s="367"/>
      <c r="X10" s="367"/>
      <c r="Y10" s="367"/>
      <c r="Z10" s="367"/>
      <c r="AA10" s="367"/>
      <c r="AB10" s="366"/>
      <c r="AC10" s="367"/>
      <c r="AD10" s="367"/>
      <c r="AE10" s="367"/>
      <c r="AF10" s="367"/>
      <c r="AG10" s="367"/>
      <c r="AH10" s="367"/>
      <c r="AI10" s="366"/>
      <c r="AJ10" s="367"/>
      <c r="AK10" s="1440"/>
      <c r="AM10" s="500"/>
      <c r="AN10" s="500" t="str">
        <f>IF(T10="","",T10)</f>
        <v xml:space="preserve">Добавить группу потребителей</v>
      </c>
      <c r="AO10" s="500"/>
      <c r="AP10" s="500"/>
      <c r="AQ10" s="1155">
        <v>0</v>
      </c>
    </row>
    <row r="11" ht="21" hidden="1" customHeight="1">
      <c r="A11" s="1363"/>
      <c r="B11" s="1363"/>
      <c r="C11" s="1363"/>
      <c r="D11" s="1363"/>
      <c r="E11" s="2259"/>
      <c r="F11" s="2259"/>
      <c r="G11" s="2259"/>
      <c r="H11" s="2258"/>
      <c r="I11" s="1363"/>
      <c r="J11" s="1363"/>
      <c r="K11" s="1363"/>
      <c r="L11" s="1364"/>
      <c r="M11" s="1365"/>
      <c r="N11" s="1365"/>
      <c r="O11" s="537"/>
      <c r="P11" s="360"/>
      <c r="Q11" s="375"/>
      <c r="R11" s="355"/>
      <c r="S11" s="1278"/>
      <c r="T11" s="372" t="s">
        <v>490</v>
      </c>
      <c r="U11" s="367"/>
      <c r="V11" s="367"/>
      <c r="W11" s="367"/>
      <c r="X11" s="367"/>
      <c r="Y11" s="367"/>
      <c r="Z11" s="367"/>
      <c r="AA11" s="367"/>
      <c r="AB11" s="366"/>
      <c r="AC11" s="367"/>
      <c r="AD11" s="367"/>
      <c r="AE11" s="367"/>
      <c r="AF11" s="367"/>
      <c r="AG11" s="367"/>
      <c r="AH11" s="367"/>
      <c r="AI11" s="366"/>
      <c r="AJ11" s="367"/>
      <c r="AK11" s="303"/>
      <c r="AM11" s="500"/>
      <c r="AN11" s="500" t="str">
        <f>IF(T11="","",T11)</f>
        <v xml:space="preserve">Добавить наименование признака дифференциации</v>
      </c>
      <c r="AO11" s="500"/>
      <c r="AP11" s="500"/>
      <c r="AQ11" s="1155">
        <v>0</v>
      </c>
    </row>
    <row r="12" s="1642" customFormat="1" ht="14.25" hidden="1" customHeight="1">
      <c r="A12" s="1343"/>
      <c r="B12" s="1343"/>
      <c r="C12" s="1314"/>
      <c r="D12" s="1314"/>
      <c r="E12" s="2259"/>
      <c r="F12" s="2258"/>
      <c r="G12" s="1314"/>
      <c r="H12" s="1314"/>
      <c r="I12" s="1314"/>
      <c r="J12" s="1314"/>
      <c r="K12" s="1314"/>
      <c r="L12" s="1458"/>
      <c r="M12" s="1321"/>
      <c r="N12" s="1321"/>
      <c r="P12" s="1316"/>
      <c r="Q12" s="1317"/>
      <c r="R12" s="1316"/>
      <c r="S12" s="1322"/>
      <c r="T12" s="1325" t="s">
        <v>417</v>
      </c>
      <c r="U12" s="1324"/>
      <c r="V12" s="1324"/>
      <c r="W12" s="1324"/>
      <c r="X12" s="1324"/>
      <c r="Y12" s="1324"/>
      <c r="Z12" s="1324"/>
      <c r="AA12" s="1324"/>
      <c r="AB12" s="1324"/>
      <c r="AC12" s="1324"/>
      <c r="AD12" s="1324"/>
      <c r="AE12" s="1324"/>
      <c r="AF12" s="1324"/>
      <c r="AG12" s="1324"/>
      <c r="AH12" s="1324"/>
      <c r="AI12" s="1324"/>
      <c r="AJ12" s="1324"/>
      <c r="AK12" s="1324"/>
      <c r="AM12" s="789"/>
      <c r="AN12" s="789" t="str">
        <f>IF(T12="","",T12)</f>
        <v xml:space="preserve">Добавить централизованную систему для дифференциации</v>
      </c>
      <c r="AO12" s="789"/>
      <c r="AP12" s="789"/>
      <c r="AQ12" s="518">
        <v>0</v>
      </c>
    </row>
    <row r="13" s="1642" customFormat="1" ht="14.25" hidden="1" customHeight="1">
      <c r="A13" s="1343"/>
      <c r="B13" s="1343"/>
      <c r="C13" s="1343"/>
      <c r="D13" s="1343"/>
      <c r="E13" s="2258"/>
      <c r="F13" s="1343"/>
      <c r="G13" s="1343"/>
      <c r="H13" s="1343"/>
      <c r="I13" s="1343"/>
      <c r="J13" s="1343"/>
      <c r="K13" s="1343"/>
      <c r="L13" s="1346"/>
      <c r="M13" s="1321"/>
      <c r="N13" s="1321"/>
      <c r="O13" s="518"/>
      <c r="P13" s="380"/>
      <c r="Q13" s="1344"/>
      <c r="R13" s="380"/>
      <c r="S13" s="1322"/>
      <c r="T13" s="1325" t="s">
        <v>418</v>
      </c>
      <c r="U13" s="1324"/>
      <c r="V13" s="1324"/>
      <c r="W13" s="1324"/>
      <c r="X13" s="1324"/>
      <c r="Y13" s="1324"/>
      <c r="Z13" s="1324"/>
      <c r="AA13" s="1324"/>
      <c r="AB13" s="1324"/>
      <c r="AC13" s="1324"/>
      <c r="AD13" s="1324"/>
      <c r="AE13" s="1324"/>
      <c r="AF13" s="1324"/>
      <c r="AG13" s="1324"/>
      <c r="AH13" s="1324"/>
      <c r="AI13" s="1324"/>
      <c r="AJ13" s="1324"/>
      <c r="AK13" s="1324"/>
      <c r="AM13" s="500"/>
      <c r="AN13" s="500" t="str">
        <f>IF(T13="","",T13)</f>
        <v xml:space="preserve">Добавить территорию для дифференциации</v>
      </c>
      <c r="AO13" s="500"/>
      <c r="AP13" s="500"/>
      <c r="AQ13" s="511">
        <v>0</v>
      </c>
    </row>
    <row r="14" ht="14.25" hidden="1" customHeight="1">
      <c r="AB14" s="327"/>
      <c r="AI14" s="327"/>
      <c r="AQ14" s="1155">
        <v>0</v>
      </c>
    </row>
    <row r="15" ht="14.25" hidden="1" customHeight="1">
      <c r="AC15" s="1360"/>
      <c r="AD15" s="1360"/>
      <c r="AE15" s="1361"/>
      <c r="AF15" s="2267"/>
      <c r="AG15" s="2268" t="s">
        <v>65</v>
      </c>
      <c r="AH15" s="2267"/>
      <c r="AI15" s="2268" t="s">
        <v>65</v>
      </c>
      <c r="AQ15" s="1155">
        <v>0</v>
      </c>
    </row>
    <row r="16" ht="14.25" hidden="1" customHeight="1">
      <c r="AC16" s="1360"/>
      <c r="AD16" s="1360"/>
      <c r="AE16" s="328" t="str">
        <f>AF15&amp;"-"&amp;AH15</f>
        <v>-</v>
      </c>
      <c r="AF16" s="2268"/>
      <c r="AG16" s="2268"/>
      <c r="AH16" s="2268"/>
      <c r="AI16" s="2268"/>
      <c r="AQ16" s="1155">
        <v>0</v>
      </c>
    </row>
    <row r="17" ht="14.25" hidden="1" customHeight="1">
      <c r="AI17" s="327"/>
      <c r="AQ17" s="1155">
        <v>0</v>
      </c>
    </row>
    <row r="18" s="1366" customFormat="1" ht="22.5" hidden="1" customHeight="1">
      <c r="L18" s="1447"/>
      <c r="M18" s="1362"/>
      <c r="N18" s="1362"/>
      <c r="O18" s="1367" t="s">
        <v>419</v>
      </c>
      <c r="P18" s="1362"/>
      <c r="Q18" s="1371"/>
      <c r="R18" s="1371"/>
      <c r="S18" s="729"/>
      <c r="Y18" s="1367"/>
      <c r="AA18" s="1367"/>
      <c r="AB18" s="1366"/>
      <c r="AF18" s="1367"/>
      <c r="AH18" s="1367"/>
      <c r="AI18" s="1366"/>
      <c r="AL18" s="511"/>
      <c r="AM18" s="511"/>
      <c r="AN18" s="511"/>
      <c r="AO18" s="511"/>
      <c r="AP18" s="511"/>
      <c r="AQ18" s="1160">
        <v>0</v>
      </c>
    </row>
    <row r="19" s="1366" customFormat="1" ht="14.25" hidden="1" customHeight="1">
      <c r="L19" s="1447"/>
      <c r="M19" s="1362"/>
      <c r="N19" s="1362"/>
      <c r="O19" s="1362"/>
      <c r="P19" s="1362"/>
      <c r="Q19" s="1371"/>
      <c r="R19" s="1371"/>
      <c r="S19" s="729"/>
      <c r="AB19" s="1366"/>
      <c r="AI19" s="1366"/>
      <c r="AL19" s="511"/>
      <c r="AM19" s="511"/>
      <c r="AN19" s="511"/>
      <c r="AO19" s="511"/>
      <c r="AP19" s="511"/>
      <c r="AQ19" s="1160">
        <v>0</v>
      </c>
    </row>
    <row r="20" s="1366" customFormat="1" ht="12" hidden="1" customHeight="1">
      <c r="L20" s="1447"/>
      <c r="M20" s="1362"/>
      <c r="N20" s="1362"/>
      <c r="O20" s="1364" t="s">
        <v>420</v>
      </c>
      <c r="P20" s="1362"/>
      <c r="Q20" s="1442"/>
      <c r="R20" s="1442"/>
      <c r="S20" s="729"/>
      <c r="T20" s="1160" t="s">
        <v>421</v>
      </c>
      <c r="Z20" s="186" t="s">
        <v>422</v>
      </c>
      <c r="AB20" s="186" t="s">
        <v>423</v>
      </c>
      <c r="AC20" s="1160" t="s">
        <v>421</v>
      </c>
      <c r="AG20" s="186" t="s">
        <v>424</v>
      </c>
      <c r="AI20" s="186" t="s">
        <v>423</v>
      </c>
      <c r="AQ20" s="1160">
        <v>0</v>
      </c>
    </row>
    <row r="21" ht="14.25" hidden="1" customHeight="1">
      <c r="O21" s="1364"/>
      <c r="AQ21" s="1155">
        <v>0</v>
      </c>
    </row>
    <row r="22" ht="14.25" hidden="1" customHeight="1">
      <c r="O22" s="1364"/>
      <c r="AQ22" s="1155">
        <v>0</v>
      </c>
    </row>
    <row r="23" ht="14.65" customHeight="1">
      <c r="Q23" s="376"/>
      <c r="R23" s="376"/>
      <c r="S23" s="1275"/>
      <c r="T23" s="363"/>
      <c r="U23" s="363"/>
      <c r="V23" s="509"/>
      <c r="W23" s="509"/>
      <c r="X23" s="509"/>
      <c r="Y23" s="509"/>
      <c r="Z23" s="509"/>
      <c r="AA23" s="509"/>
      <c r="AB23" s="509"/>
      <c r="AC23" s="509"/>
      <c r="AD23" s="509"/>
      <c r="AE23" s="509"/>
      <c r="AF23" s="509"/>
      <c r="AG23" s="509"/>
      <c r="AH23" s="509"/>
      <c r="AI23" s="509"/>
      <c r="AQ23" s="1155">
        <v>14</v>
      </c>
    </row>
    <row r="24" ht="14.65" customHeight="1">
      <c r="Q24" s="376"/>
      <c r="R24" s="376"/>
      <c r="S24" s="2248" t="str">
        <f>IF(TEMPLATE_GROUP="P",PT_P_FORM_COLDVSNA_4_NAME_FORM,PT_R_FORM_COLDVSNA_16_NAME_FORM)</f>
        <v xml:space="preserve">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r="25" ht="14.65" customHeight="1">
      <c r="Q25" s="376"/>
      <c r="R25" s="376"/>
      <c r="S25" s="2249" t="str">
        <f>IF(org=0,"Не определено",org)</f>
        <v xml:space="preserve">филиал ПАО "ОГК-2" - Рязанская ГРЭС</v>
      </c>
      <c r="T25" s="2249"/>
      <c r="U25" s="2249"/>
      <c r="V25" s="2249"/>
      <c r="W25" s="2249"/>
      <c r="X25" s="2249"/>
      <c r="Y25" s="2249"/>
      <c r="Z25" s="2249"/>
      <c r="AA25" s="2249"/>
      <c r="AB25" s="2249"/>
      <c r="AC25" s="2249"/>
      <c r="AD25" s="2249"/>
      <c r="AE25" s="2249"/>
      <c r="AF25" s="2249"/>
      <c r="AG25" s="2249"/>
      <c r="AH25" s="2249"/>
      <c r="AI25" s="1243"/>
      <c r="AQ25" s="1155">
        <v>14</v>
      </c>
    </row>
    <row r="26" ht="14.25" hidden="1" customHeight="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r="27" s="1853" customFormat="1" ht="25.5" hidden="1" customHeight="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r="28" s="1853" customFormat="1" ht="18.75" hidden="1" customHeight="1">
      <c r="A28" s="1368"/>
      <c r="B28" s="1368"/>
      <c r="C28" s="1368"/>
      <c r="D28" s="1368"/>
      <c r="E28" s="1368"/>
      <c r="F28" s="1368"/>
      <c r="G28" s="1368"/>
      <c r="H28" s="1368"/>
      <c r="I28" s="1368"/>
      <c r="J28" s="1368"/>
      <c r="K28" s="1368"/>
      <c r="L28" s="1369"/>
      <c r="M28" s="1368"/>
      <c r="N28" s="1368"/>
      <c r="O28" s="1368"/>
      <c r="S28" s="2250" t="s">
        <v>425</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r="29" s="1853" customFormat="1" ht="18.75" hidden="1" customHeight="1">
      <c r="A29" s="1368"/>
      <c r="B29" s="1368"/>
      <c r="C29" s="1368"/>
      <c r="D29" s="1368"/>
      <c r="E29" s="1368"/>
      <c r="F29" s="1368"/>
      <c r="G29" s="1368"/>
      <c r="H29" s="1368"/>
      <c r="I29" s="1368"/>
      <c r="J29" s="1368"/>
      <c r="K29" s="1368"/>
      <c r="L29" s="1369"/>
      <c r="M29" s="1368"/>
      <c r="N29" s="1368"/>
      <c r="O29" s="1368"/>
      <c r="S29" s="2250" t="s">
        <v>426</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r="30" s="1853" customFormat="1" ht="18.75" hidden="1" customHeight="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r="31" ht="14.25" hidden="1" customHeight="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r="32" s="1853" customFormat="1" ht="18.75" hidden="1" customHeight="1">
      <c r="A32" s="1368"/>
      <c r="B32" s="1368"/>
      <c r="C32" s="1368"/>
      <c r="D32" s="1368"/>
      <c r="E32" s="1368"/>
      <c r="F32" s="1368"/>
      <c r="G32" s="1368"/>
      <c r="H32" s="1368"/>
      <c r="I32" s="1368"/>
      <c r="J32" s="1368"/>
      <c r="K32" s="1368"/>
      <c r="L32" s="1369"/>
      <c r="M32" s="1368"/>
      <c r="N32" s="1368"/>
      <c r="O32" s="1368"/>
      <c r="S32" s="2250" t="s">
        <v>427</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r="33" s="1853" customFormat="1" ht="18.75" hidden="1" customHeight="1">
      <c r="A33" s="1368"/>
      <c r="B33" s="1368"/>
      <c r="C33" s="1368"/>
      <c r="D33" s="1368"/>
      <c r="E33" s="1368"/>
      <c r="F33" s="1368"/>
      <c r="G33" s="1368"/>
      <c r="H33" s="1368"/>
      <c r="I33" s="1368"/>
      <c r="J33" s="1368"/>
      <c r="K33" s="1368"/>
      <c r="L33" s="1369"/>
      <c r="M33" s="1368"/>
      <c r="N33" s="1368"/>
      <c r="O33" s="1368"/>
      <c r="S33" s="2250" t="s">
        <v>428</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r="34" s="1853" customFormat="1" ht="1.05" customHeight="1">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429</v>
      </c>
      <c r="AC34" s="326"/>
      <c r="AD34" s="326"/>
      <c r="AE34" s="326"/>
      <c r="AF34" s="326"/>
      <c r="AG34" s="326"/>
      <c r="AH34" s="326"/>
      <c r="AI34" s="278" t="s">
        <v>429</v>
      </c>
      <c r="AL34" s="368"/>
      <c r="AM34" s="368"/>
      <c r="AN34" s="368"/>
      <c r="AO34" s="368"/>
      <c r="AP34" s="368"/>
      <c r="AQ34" s="418">
        <v>1</v>
      </c>
    </row>
    <row r="35" ht="14.65" customHeight="1">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r="36" ht="14.65" customHeight="1">
      <c r="Q36" s="376"/>
      <c r="R36" s="376"/>
      <c r="S36" s="2127" t="s">
        <v>302</v>
      </c>
      <c r="T36" s="2127"/>
      <c r="U36" s="2127"/>
      <c r="V36" s="2127"/>
      <c r="W36" s="2127"/>
      <c r="X36" s="2127"/>
      <c r="Y36" s="2127"/>
      <c r="Z36" s="2127"/>
      <c r="AA36" s="2127"/>
      <c r="AB36" s="2127"/>
      <c r="AC36" s="2127"/>
      <c r="AD36" s="2127"/>
      <c r="AE36" s="2127"/>
      <c r="AF36" s="2127"/>
      <c r="AG36" s="2127"/>
      <c r="AH36" s="2127"/>
      <c r="AI36" s="2127"/>
      <c r="AJ36" s="2127"/>
      <c r="AK36" s="2127" t="s">
        <v>303</v>
      </c>
      <c r="AQ36" s="1155">
        <v>14</v>
      </c>
    </row>
    <row r="37" ht="14.65" customHeight="1">
      <c r="Q37" s="376"/>
      <c r="R37" s="376"/>
      <c r="S37" s="2273" t="s">
        <v>87</v>
      </c>
      <c r="T37" s="2209" t="s">
        <v>430</v>
      </c>
      <c r="U37" s="301"/>
      <c r="V37" s="2274" t="s">
        <v>431</v>
      </c>
      <c r="W37" s="2275"/>
      <c r="X37" s="2275"/>
      <c r="Y37" s="2275"/>
      <c r="Z37" s="2275"/>
      <c r="AA37" s="2276"/>
      <c r="AB37" s="2277" t="s">
        <v>432</v>
      </c>
      <c r="AC37" s="2274" t="s">
        <v>431</v>
      </c>
      <c r="AD37" s="2275"/>
      <c r="AE37" s="2275"/>
      <c r="AF37" s="2275"/>
      <c r="AG37" s="2275"/>
      <c r="AH37" s="2276"/>
      <c r="AI37" s="2277" t="s">
        <v>433</v>
      </c>
      <c r="AJ37" s="2280" t="s">
        <v>434</v>
      </c>
      <c r="AK37" s="2127"/>
      <c r="AQ37" s="1155">
        <v>14</v>
      </c>
    </row>
    <row r="38" ht="35.649999999999999" customHeight="1">
      <c r="Q38" s="376"/>
      <c r="R38" s="376"/>
      <c r="S38" s="2273"/>
      <c r="T38" s="2209"/>
      <c r="U38" s="1031"/>
      <c r="V38" s="1452" t="s">
        <v>491</v>
      </c>
      <c r="W38" s="2262" t="s">
        <v>437</v>
      </c>
      <c r="X38" s="2263"/>
      <c r="Y38" s="2262" t="s">
        <v>438</v>
      </c>
      <c r="Z38" s="2269"/>
      <c r="AA38" s="2263"/>
      <c r="AB38" s="2278"/>
      <c r="AC38" s="1452" t="s">
        <v>491</v>
      </c>
      <c r="AD38" s="2262" t="s">
        <v>437</v>
      </c>
      <c r="AE38" s="2263"/>
      <c r="AF38" s="2262" t="s">
        <v>438</v>
      </c>
      <c r="AG38" s="2269"/>
      <c r="AH38" s="2263"/>
      <c r="AI38" s="2278"/>
      <c r="AJ38" s="2281"/>
      <c r="AK38" s="2127"/>
      <c r="AQ38" s="1155">
        <v>34</v>
      </c>
    </row>
    <row r="39" ht="35.649999999999999" customHeight="1">
      <c r="A39" s="1370"/>
      <c r="B39" s="1370" t="s">
        <v>139</v>
      </c>
      <c r="C39" s="1370" t="s">
        <v>140</v>
      </c>
      <c r="D39" s="1370" t="s">
        <v>141</v>
      </c>
      <c r="E39" s="1364" t="s">
        <v>439</v>
      </c>
      <c r="F39" s="1364" t="s">
        <v>440</v>
      </c>
      <c r="G39" s="1364" t="s">
        <v>441</v>
      </c>
      <c r="H39" s="1364"/>
      <c r="I39" s="1364" t="s">
        <v>492</v>
      </c>
      <c r="J39" s="1364" t="s">
        <v>444</v>
      </c>
      <c r="K39" s="1364" t="s">
        <v>493</v>
      </c>
      <c r="L39" s="1364" t="s">
        <v>420</v>
      </c>
      <c r="Q39" s="376"/>
      <c r="R39" s="376"/>
      <c r="S39" s="2273"/>
      <c r="T39" s="2209"/>
      <c r="U39" s="302"/>
      <c r="V39" s="1452" t="s">
        <v>494</v>
      </c>
      <c r="W39" s="1222" t="s">
        <v>495</v>
      </c>
      <c r="X39" s="1222" t="s">
        <v>496</v>
      </c>
      <c r="Y39" s="1455" t="s">
        <v>448</v>
      </c>
      <c r="Z39" s="2270" t="s">
        <v>449</v>
      </c>
      <c r="AA39" s="2271"/>
      <c r="AB39" s="2279"/>
      <c r="AC39" s="1452" t="s">
        <v>494</v>
      </c>
      <c r="AD39" s="1222" t="s">
        <v>495</v>
      </c>
      <c r="AE39" s="1222" t="s">
        <v>496</v>
      </c>
      <c r="AF39" s="1455" t="s">
        <v>448</v>
      </c>
      <c r="AG39" s="2270" t="s">
        <v>449</v>
      </c>
      <c r="AH39" s="2271"/>
      <c r="AI39" s="2279"/>
      <c r="AJ39" s="2282"/>
      <c r="AK39" s="2127"/>
      <c r="AQ39" s="1155">
        <v>34</v>
      </c>
    </row>
    <row r="40" s="1641" customFormat="1" ht="0" customHeight="1">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r="41" ht="24" customHeight="1">
      <c r="A41" s="1363" t="s">
        <v>243</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127</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 xml:space="preserve">Наименование тарифа</v>
      </c>
      <c r="AO41" s="500"/>
      <c r="AP41" s="500"/>
      <c r="AQ41" s="1155">
        <v>23</v>
      </c>
    </row>
    <row r="42" ht="24" customHeight="1">
      <c r="A42" s="1363" t="s">
        <v>243</v>
      </c>
      <c r="B42" s="1363" t="s">
        <v>244</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399</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400</v>
      </c>
      <c r="AM42" s="500"/>
      <c r="AN42" s="500" t="str">
        <f>IF(T42="","",T42)</f>
        <v xml:space="preserve">Территория действия тарифа</v>
      </c>
      <c r="AO42" s="500"/>
      <c r="AP42" s="500"/>
      <c r="AQ42" s="1155">
        <v>23</v>
      </c>
    </row>
    <row r="43" ht="24" customHeight="1">
      <c r="A43" s="1363" t="s">
        <v>243</v>
      </c>
      <c r="B43" s="1363" t="s">
        <v>244</v>
      </c>
      <c r="C43" s="1363" t="s">
        <v>245</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483</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484</v>
      </c>
      <c r="AM43" s="500"/>
      <c r="AN43" s="500" t="str">
        <f>IF(T43="","",T43)</f>
        <v xml:space="preserve">Наименование централизованной системы холодного водоснабжения</v>
      </c>
      <c r="AO43" s="500"/>
      <c r="AP43" s="500"/>
      <c r="AQ43" s="1155">
        <v>23</v>
      </c>
    </row>
    <row r="44" ht="24" customHeight="1">
      <c r="A44" s="1363" t="s">
        <v>243</v>
      </c>
      <c r="B44" s="1363" t="s">
        <v>244</v>
      </c>
      <c r="C44" s="1363" t="s">
        <v>245</v>
      </c>
      <c r="D44" s="1363" t="s">
        <v>500</v>
      </c>
      <c r="E44" s="2259"/>
      <c r="F44" s="2259"/>
      <c r="G44" s="2259"/>
      <c r="H44" s="2259"/>
      <c r="I44" s="2256" t="str">
        <f>S43&amp;".1"</f>
        <v>...1</v>
      </c>
      <c r="J44" s="1363"/>
      <c r="K44" s="1363"/>
      <c r="L44" s="1364"/>
      <c r="P44" s="2257">
        <v>1</v>
      </c>
      <c r="Q44" s="1450"/>
      <c r="R44" s="356"/>
      <c r="S44" s="1457" t="str">
        <f>$I44</f>
        <v>...1</v>
      </c>
      <c r="T44" s="285" t="s">
        <v>485</v>
      </c>
      <c r="U44" s="300"/>
      <c r="V44" s="2350"/>
      <c r="W44" s="2351"/>
      <c r="X44" s="2351"/>
      <c r="Y44" s="2351"/>
      <c r="Z44" s="2351"/>
      <c r="AA44" s="2351"/>
      <c r="AB44" s="2352"/>
      <c r="AC44" s="2353"/>
      <c r="AD44" s="2354"/>
      <c r="AE44" s="2354"/>
      <c r="AF44" s="2354"/>
      <c r="AG44" s="2354"/>
      <c r="AH44" s="2354"/>
      <c r="AI44" s="2354"/>
      <c r="AJ44" s="2355"/>
      <c r="AK44" s="1258" t="s">
        <v>486</v>
      </c>
      <c r="AM44" s="500"/>
      <c r="AN44" s="500" t="str">
        <f>IF(T44="","",T44)</f>
        <v xml:space="preserve">Наименование признака дифференциации</v>
      </c>
      <c r="AO44" s="500"/>
      <c r="AP44" s="500"/>
      <c r="AQ44" s="1155">
        <v>23</v>
      </c>
    </row>
    <row r="45" ht="24" customHeight="1">
      <c r="A45" s="1363" t="s">
        <v>243</v>
      </c>
      <c r="B45" s="1363" t="s">
        <v>244</v>
      </c>
      <c r="C45" s="1363" t="s">
        <v>245</v>
      </c>
      <c r="D45" s="1363" t="s">
        <v>500</v>
      </c>
      <c r="E45" s="2259"/>
      <c r="F45" s="2259"/>
      <c r="G45" s="2259"/>
      <c r="H45" s="2259"/>
      <c r="I45" s="2286"/>
      <c r="J45" s="2256" t="str">
        <f>I44&amp;".1"</f>
        <v>...1.1</v>
      </c>
      <c r="K45" s="1363"/>
      <c r="L45" s="1364" t="s">
        <v>408</v>
      </c>
      <c r="P45" s="2257"/>
      <c r="Q45" s="2257">
        <v>1</v>
      </c>
      <c r="R45" s="357"/>
      <c r="S45" s="1457" t="str">
        <f>$J45</f>
        <v>...1.1</v>
      </c>
      <c r="T45" s="286" t="s">
        <v>409</v>
      </c>
      <c r="U45" s="300"/>
      <c r="V45" s="2245"/>
      <c r="W45" s="2246"/>
      <c r="X45" s="2246"/>
      <c r="Y45" s="2246"/>
      <c r="Z45" s="2246"/>
      <c r="AA45" s="2246"/>
      <c r="AB45" s="2247"/>
      <c r="AC45" s="2245"/>
      <c r="AD45" s="2246"/>
      <c r="AE45" s="2246"/>
      <c r="AF45" s="2246"/>
      <c r="AG45" s="2246"/>
      <c r="AH45" s="2246"/>
      <c r="AI45" s="2246"/>
      <c r="AJ45" s="2247"/>
      <c r="AK45" s="1307" t="s">
        <v>487</v>
      </c>
      <c r="AM45" s="500"/>
      <c r="AN45" s="500" t="str">
        <f>IF(T45="","",T45)</f>
        <v xml:space="preserve">Группа потребителей</v>
      </c>
      <c r="AO45" s="500"/>
      <c r="AP45" s="500"/>
      <c r="AQ45" s="1155">
        <v>23</v>
      </c>
    </row>
    <row r="46" ht="24" customHeight="1">
      <c r="A46" s="1363" t="s">
        <v>243</v>
      </c>
      <c r="B46" s="1363" t="s">
        <v>244</v>
      </c>
      <c r="C46" s="1363" t="s">
        <v>245</v>
      </c>
      <c r="D46" s="1363" t="s">
        <v>500</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r="47" ht="0" customHeight="1">
      <c r="A47" s="1363" t="s">
        <v>243</v>
      </c>
      <c r="B47" s="1363" t="s">
        <v>244</v>
      </c>
      <c r="C47" s="1363" t="s">
        <v>245</v>
      </c>
      <c r="D47" s="1363" t="s">
        <v>500</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r="48" ht="21" customHeight="1">
      <c r="A48" s="1363" t="s">
        <v>243</v>
      </c>
      <c r="B48" s="1363" t="s">
        <v>244</v>
      </c>
      <c r="C48" s="1363" t="s">
        <v>245</v>
      </c>
      <c r="D48" s="1363" t="s">
        <v>500</v>
      </c>
      <c r="E48" s="2259"/>
      <c r="F48" s="2259"/>
      <c r="G48" s="2259"/>
      <c r="H48" s="2259"/>
      <c r="I48" s="2286"/>
      <c r="J48" s="2256"/>
      <c r="K48" s="1363"/>
      <c r="L48" s="1364"/>
      <c r="P48" s="2257"/>
      <c r="Q48" s="2257"/>
      <c r="R48" s="356"/>
      <c r="S48" s="1278"/>
      <c r="T48" s="287" t="s">
        <v>488</v>
      </c>
      <c r="U48" s="367"/>
      <c r="V48" s="367"/>
      <c r="W48" s="367"/>
      <c r="X48" s="367"/>
      <c r="Y48" s="367"/>
      <c r="Z48" s="367"/>
      <c r="AA48" s="367"/>
      <c r="AB48" s="367"/>
      <c r="AC48" s="367"/>
      <c r="AD48" s="367"/>
      <c r="AE48" s="367"/>
      <c r="AF48" s="367"/>
      <c r="AG48" s="367"/>
      <c r="AH48" s="367"/>
      <c r="AI48" s="367"/>
      <c r="AJ48" s="367"/>
      <c r="AK48" s="1258" t="s">
        <v>489</v>
      </c>
      <c r="AM48" s="500"/>
      <c r="AN48" s="500" t="str">
        <f>IF(T48="","",T48)</f>
        <v xml:space="preserve">Добавить значение признака дифференциации</v>
      </c>
      <c r="AO48" s="500"/>
      <c r="AP48" s="500"/>
      <c r="AQ48" s="1155">
        <v>20</v>
      </c>
    </row>
    <row r="49" ht="22" customHeight="1">
      <c r="A49" s="1363" t="s">
        <v>243</v>
      </c>
      <c r="B49" s="1363" t="s">
        <v>244</v>
      </c>
      <c r="C49" s="1363" t="s">
        <v>245</v>
      </c>
      <c r="D49" s="1363" t="s">
        <v>500</v>
      </c>
      <c r="E49" s="2259"/>
      <c r="F49" s="2259"/>
      <c r="G49" s="2259"/>
      <c r="H49" s="2259"/>
      <c r="I49" s="2256"/>
      <c r="J49" s="1363"/>
      <c r="K49" s="1363"/>
      <c r="L49" s="1364"/>
      <c r="P49" s="2257"/>
      <c r="Q49" s="1450"/>
      <c r="R49" s="356"/>
      <c r="S49" s="1278"/>
      <c r="T49" s="365" t="s">
        <v>414</v>
      </c>
      <c r="U49" s="367"/>
      <c r="V49" s="367"/>
      <c r="W49" s="367"/>
      <c r="X49" s="367"/>
      <c r="Y49" s="367"/>
      <c r="Z49" s="367"/>
      <c r="AA49" s="367"/>
      <c r="AB49" s="366"/>
      <c r="AC49" s="367"/>
      <c r="AD49" s="367"/>
      <c r="AE49" s="367"/>
      <c r="AF49" s="367"/>
      <c r="AG49" s="367"/>
      <c r="AH49" s="367"/>
      <c r="AI49" s="366"/>
      <c r="AJ49" s="367"/>
      <c r="AK49" s="1440"/>
      <c r="AM49" s="500"/>
      <c r="AN49" s="500" t="str">
        <f>IF(T49="","",T49)</f>
        <v xml:space="preserve">Добавить группу потребителей</v>
      </c>
      <c r="AO49" s="500"/>
      <c r="AP49" s="500"/>
      <c r="AQ49" s="1155">
        <v>21</v>
      </c>
    </row>
    <row r="50" ht="22" customHeight="1">
      <c r="A50" s="1363" t="s">
        <v>243</v>
      </c>
      <c r="B50" s="1363" t="s">
        <v>244</v>
      </c>
      <c r="C50" s="1363" t="s">
        <v>245</v>
      </c>
      <c r="D50" s="1363" t="s">
        <v>500</v>
      </c>
      <c r="E50" s="2259"/>
      <c r="F50" s="2259"/>
      <c r="G50" s="2259"/>
      <c r="H50" s="2258"/>
      <c r="I50" s="1363"/>
      <c r="J50" s="1363"/>
      <c r="K50" s="1363"/>
      <c r="L50" s="1364"/>
      <c r="M50" s="1365"/>
      <c r="N50" s="1365"/>
      <c r="O50" s="537"/>
      <c r="P50" s="360"/>
      <c r="Q50" s="375"/>
      <c r="R50" s="355"/>
      <c r="S50" s="1278"/>
      <c r="T50" s="372" t="s">
        <v>490</v>
      </c>
      <c r="U50" s="367"/>
      <c r="V50" s="367"/>
      <c r="W50" s="367"/>
      <c r="X50" s="367"/>
      <c r="Y50" s="367"/>
      <c r="Z50" s="367"/>
      <c r="AA50" s="367"/>
      <c r="AB50" s="366"/>
      <c r="AC50" s="367"/>
      <c r="AD50" s="367"/>
      <c r="AE50" s="367"/>
      <c r="AF50" s="367"/>
      <c r="AG50" s="367"/>
      <c r="AH50" s="367"/>
      <c r="AI50" s="366"/>
      <c r="AJ50" s="367"/>
      <c r="AK50" s="303"/>
      <c r="AM50" s="500"/>
      <c r="AN50" s="500" t="str">
        <f>IF(T50="","",T50)</f>
        <v xml:space="preserve">Добавить наименование признака дифференциации</v>
      </c>
      <c r="AO50" s="500"/>
      <c r="AP50" s="500"/>
      <c r="AQ50" s="1155">
        <v>21</v>
      </c>
    </row>
    <row r="51" s="1642" customFormat="1" ht="0" customHeight="1">
      <c r="A51" s="1343" t="s">
        <v>243</v>
      </c>
      <c r="B51" s="1343" t="s">
        <v>244</v>
      </c>
      <c r="C51" s="1314"/>
      <c r="D51" s="1314"/>
      <c r="E51" s="2259"/>
      <c r="F51" s="2258"/>
      <c r="G51" s="1314"/>
      <c r="H51" s="1314"/>
      <c r="I51" s="1314"/>
      <c r="J51" s="1314"/>
      <c r="K51" s="1314"/>
      <c r="L51" s="1458"/>
      <c r="M51" s="1321"/>
      <c r="N51" s="1321"/>
      <c r="P51" s="1316"/>
      <c r="Q51" s="1317"/>
      <c r="R51" s="1316"/>
      <c r="S51" s="1322"/>
      <c r="T51" s="1325" t="s">
        <v>417</v>
      </c>
      <c r="U51" s="1324"/>
      <c r="V51" s="1324"/>
      <c r="W51" s="1324"/>
      <c r="X51" s="1324"/>
      <c r="Y51" s="1324"/>
      <c r="Z51" s="1324"/>
      <c r="AA51" s="1324"/>
      <c r="AB51" s="1324"/>
      <c r="AC51" s="1324"/>
      <c r="AD51" s="1324"/>
      <c r="AE51" s="1324"/>
      <c r="AF51" s="1324"/>
      <c r="AG51" s="1324"/>
      <c r="AH51" s="1324"/>
      <c r="AI51" s="1324"/>
      <c r="AJ51" s="1324"/>
      <c r="AK51" s="1324"/>
      <c r="AM51" s="789"/>
      <c r="AN51" s="789" t="str">
        <f>IF(T51="","",T51)</f>
        <v xml:space="preserve">Добавить централизованную систему для дифференциации</v>
      </c>
      <c r="AO51" s="789"/>
      <c r="AP51" s="789"/>
      <c r="AQ51" s="518">
        <v>0</v>
      </c>
    </row>
    <row r="52" s="1642" customFormat="1" ht="0" customHeight="1">
      <c r="A52" s="1343" t="s">
        <v>243</v>
      </c>
      <c r="B52" s="1343"/>
      <c r="C52" s="1343"/>
      <c r="D52" s="1343"/>
      <c r="E52" s="2258"/>
      <c r="F52" s="1343"/>
      <c r="G52" s="1343"/>
      <c r="H52" s="1343"/>
      <c r="I52" s="1343"/>
      <c r="J52" s="1343"/>
      <c r="K52" s="1343"/>
      <c r="L52" s="1346"/>
      <c r="M52" s="1321"/>
      <c r="N52" s="1321"/>
      <c r="O52" s="518"/>
      <c r="P52" s="380"/>
      <c r="Q52" s="1344"/>
      <c r="R52" s="380"/>
      <c r="S52" s="1322"/>
      <c r="T52" s="1325" t="s">
        <v>418</v>
      </c>
      <c r="U52" s="1324"/>
      <c r="V52" s="1324"/>
      <c r="W52" s="1324"/>
      <c r="X52" s="1324"/>
      <c r="Y52" s="1324"/>
      <c r="Z52" s="1324"/>
      <c r="AA52" s="1324"/>
      <c r="AB52" s="1324"/>
      <c r="AC52" s="1324"/>
      <c r="AD52" s="1324"/>
      <c r="AE52" s="1324"/>
      <c r="AF52" s="1324"/>
      <c r="AG52" s="1324"/>
      <c r="AH52" s="1324"/>
      <c r="AI52" s="1324"/>
      <c r="AJ52" s="1324"/>
      <c r="AK52" s="1324"/>
      <c r="AM52" s="500"/>
      <c r="AN52" s="500" t="str">
        <f>IF(T52="","",T52)</f>
        <v xml:space="preserve">Добавить территорию для дифференциации</v>
      </c>
      <c r="AO52" s="500"/>
      <c r="AP52" s="500"/>
      <c r="AQ52" s="511">
        <v>0</v>
      </c>
    </row>
    <row r="53" s="1642" customFormat="1" ht="0" customHeight="1">
      <c r="A53" s="1314"/>
      <c r="B53" s="1314"/>
      <c r="C53" s="1314"/>
      <c r="D53" s="1314"/>
      <c r="E53" s="1343"/>
      <c r="F53" s="1314"/>
      <c r="G53" s="1314"/>
      <c r="H53" s="1314"/>
      <c r="I53" s="1314"/>
      <c r="J53" s="1314"/>
      <c r="K53" s="1314"/>
      <c r="L53" s="1458"/>
      <c r="M53" s="1321"/>
      <c r="N53" s="1321"/>
      <c r="P53" s="1316"/>
      <c r="Q53" s="1317"/>
      <c r="R53" s="1316"/>
      <c r="S53" s="1322"/>
      <c r="T53" s="1325" t="s">
        <v>450</v>
      </c>
      <c r="U53" s="1324"/>
      <c r="V53" s="1324"/>
      <c r="W53" s="1324"/>
      <c r="X53" s="1324"/>
      <c r="Y53" s="1324"/>
      <c r="Z53" s="1324"/>
      <c r="AA53" s="1324"/>
      <c r="AB53" s="1324"/>
      <c r="AC53" s="1324"/>
      <c r="AD53" s="1324"/>
      <c r="AE53" s="1324"/>
      <c r="AF53" s="1324"/>
      <c r="AG53" s="1324"/>
      <c r="AH53" s="1324"/>
      <c r="AI53" s="1324"/>
      <c r="AJ53" s="1324"/>
      <c r="AK53" s="1324"/>
      <c r="AM53" s="789"/>
      <c r="AN53" s="789" t="str">
        <f>IF(T53="","",T53)</f>
        <v xml:space="preserve">Добавить наименование тарифа</v>
      </c>
      <c r="AO53" s="789"/>
      <c r="AP53" s="789"/>
      <c r="AQ53" s="518">
        <v>0</v>
      </c>
    </row>
    <row r="54" ht="11.5" customHeight="1">
      <c r="M54" s="1160"/>
      <c r="N54" s="1160"/>
      <c r="O54" s="537"/>
      <c r="P54" s="1155"/>
      <c r="Q54" s="1155"/>
      <c r="R54" s="1155"/>
      <c r="S54" s="1155"/>
      <c r="AL54" s="1155"/>
      <c r="AM54" s="1155"/>
      <c r="AN54" s="1155"/>
      <c r="AO54" s="1155"/>
      <c r="AP54" s="1155"/>
      <c r="AQ54" s="1155">
        <v>11</v>
      </c>
    </row>
    <row r="55" ht="14.65" customHeight="1">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r="56" ht="14.65" customHeight="1">
      <c r="O56" s="537"/>
      <c r="AQ56" s="1155">
        <v>14</v>
      </c>
    </row>
    <row r="57" ht="14.65" customHeight="1">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r="58" ht="22.5" hidden="1" customHeight="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autoFilter="0" deleteColumns="0" deleteRows="0" formatColumns="0" formatRows="0" insertColumns="1" insertRows="0" sort="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4">
    <dataValidation sqref="S131116:AK131122 S196652:AK196658 S262188:AK262194 S327724:AK327730 S393260:AK393266 S458796:AK458802 S524332:AK524338 S589868:AK589874 S655404:AK655410 S720940:AK720946 S786476:AK786482 S852012:AK852018 S917548:AK917554 S983084:AK983090 S65580:AK65586" allowBlank="1"/>
    <dataValidation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allowBlank="1" prompt="Для выбора выполните двойной щелчок левой клавиши мыши по соответствующей ячейке." showErrorMessage="1" showInputMessage="1"/>
    <dataValidation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allowBlank="1" prompt="Выберите дату из календаря (иконка справа от указанной ячейки), либо введите дату непосредственно в ячейку в формате - 'ДД.ММ.ГГГГ'." showErrorMessage="1" showInputMessage="1"/>
    <dataValidation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allowBlank="1" promptTitle="checkPeriodRange"/>
  </dataValidations>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x14:dataValidation xr:uid="{0071007C-0047-4CB0-B9BC-000200740079}" type="list" allowBlank="1" error="Выберите значение из списка" errorTitle="Ошибка" prompt="Выберите значение из списка" showInputMessage="1">
          <x14:formula1>
            <xm:f>kind_of_cons</xm:f>
          </x14:formula1>
          <xm:sqref>V983081:AJ983081 V65577:AJ65577 V131113:AJ131113 V196649:AJ196649 V262185:AJ262185 V327721:AJ327721 V393257:AJ393257 V458793:AJ458793 V524329:AJ524329 V589865:AJ589865 V655401:AJ655401 V720937:AJ720937 V786473:AJ786473 V852009:AJ852009 V917545:AJ917545</xm:sqref>
        </x14:dataValidation>
        <x14:dataValidation xr:uid="{002C009D-0011-447F-8EA8-0072003C00E4}" type="list" allowBlank="1" error="Выберите значение из списка" errorTitle="Ошибка" showErrorMessage="1" showInputMessage="1">
          <x14:formula1>
            <xm:f>kind_of_heat_transfer</xm:f>
          </x14:formula1>
          <xm:sqref>T65578 T131114 T196650 T262186 T327722 T393258 T458794 T524330 T589866 T655402 T720938 T786474 T852010 T917546 T983082</xm:sqref>
        </x14:dataValidation>
        <x14:dataValidation xr:uid="{007F0003-008F-4831-BED1-0046006D007B}" type="textLength" allowBlank="1" error="Допускается ввод не более 900 символов!" errorTitle="Ошибка" operator="lessThanOrEqual" showErrorMessage="1" showInputMessage="1">
          <x14:formula1>
            <xm:f>900</xm:f>
          </x14:formula1>
          <xm: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xm:sqref>
        </x14:dataValidation>
        <x14:dataValidation xr:uid="{002B00CF-00B9-48B2-80B2-00F4000B000E}" type="list" allowBlank="1" error="Выберите значение из списка" errorTitle="Ошибка" showErrorMessage="1" showInputMessage="1">
          <x14:formula1>
            <xm:f>kind_of_scheme_in</xm:f>
          </x14:formula1>
          <xm:sqref>V983080 V65576 V131112 V196648 V262184 V327720 V393256 V458792 V524328 V589864 V655400 V720936 V786472 V852008 V917544 AC983080 AC65576 AC131112 AC196648 AC262184 AC327720 AC393256 AC458792 AC524328 AC589864 AC655400 AC720936 AC786472 AC852008 AC917544</xm:sqref>
        </x14:dataValidation>
      </x14:dataValidations>
    </ext>
  </extLs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sheetPr>
  <sheetViews>
    <sheetView showGridLines="0" topLeftCell="A1" zoomScale="90" workbookViewId="0">
      <selection activeCell="A1" sqref="A1"/>
    </sheetView>
  </sheetViews>
  <sheetFormatPr defaultColWidth="10.57421875" defaultRowHeight="14.25" customHeight="1"/>
  <cols>
    <col customWidth="1" hidden="1" min="1" max="3" style="1635" width="10.140625"/>
    <col customWidth="1" hidden="1" min="4" max="4" style="1635" width="11.8515625"/>
    <col customWidth="1" hidden="1" min="5" max="11" style="1635" width="10.140625"/>
    <col customWidth="1" hidden="1" min="12" max="12" style="2125" width="10.140625"/>
    <col customWidth="1" hidden="1" min="13" max="15" style="2397" width="10.140625"/>
    <col customWidth="1" min="16" max="16" style="1776" width="3.00390625"/>
    <col customWidth="1" min="17" max="17" style="1371" width="3.00390625"/>
    <col customWidth="1" min="18" max="18" style="344" width="3.00390625"/>
    <col customWidth="1" min="19" max="19" style="2407" width="12.00390625"/>
    <col customWidth="1" min="20" max="20" style="1635" width="31.00390625"/>
    <col customWidth="1" min="21" max="21" style="1635" width="0.140625"/>
    <col customWidth="1" hidden="1" min="22" max="23" style="1635" width="21.7109375"/>
    <col customWidth="1" hidden="1" min="24" max="24" style="1635" width="11.7109375"/>
    <col customWidth="1" hidden="1" min="25" max="25" style="1635" width="3.7109375"/>
    <col customWidth="1" hidden="1" min="26" max="26" style="1635" width="11.7109375"/>
    <col customWidth="1" hidden="1" min="27" max="27" style="1635" width="8.57421875"/>
    <col customWidth="1" min="28" max="28" style="1635" width="27.00390625"/>
    <col customWidth="1" min="29" max="29" style="1635" width="24.57421875"/>
    <col customWidth="1" min="30" max="31" style="1635" width="21.00390625"/>
    <col customWidth="1" min="32" max="32" style="1635" width="11.00390625"/>
    <col customWidth="1" min="33" max="33" style="1635" width="3.7109375"/>
    <col customWidth="1" min="34" max="34" style="1635" width="11.00390625"/>
    <col customWidth="1" hidden="1" min="35" max="35" style="1635" width="8.57421875"/>
    <col customWidth="1" min="36" max="36" style="1635" width="4.00390625"/>
    <col customWidth="1" min="37" max="37" style="1635" width="115.00390625"/>
    <col customWidth="1" min="38" max="42" style="1642" width="10.00390625"/>
    <col hidden="1" min="43" max="43" style="1635" width="10.57421875"/>
  </cols>
  <sheetData>
    <row r="1" ht="0.75" hidden="1" customHeight="1">
      <c r="AQ1" s="1631" t="s">
        <v>14</v>
      </c>
    </row>
    <row r="2" ht="21" hidden="1" customHeight="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127</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398</v>
      </c>
      <c r="AM2" s="1624"/>
      <c r="AN2" s="1624" t="str">
        <f>IF(T2="","",T2)</f>
        <v xml:space="preserve">Наименование тарифа</v>
      </c>
      <c r="AO2" s="1624"/>
      <c r="AP2" s="1624"/>
      <c r="AQ2" s="1631">
        <v>0</v>
      </c>
    </row>
    <row r="3" ht="21" hidden="1" customHeight="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399</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400</v>
      </c>
      <c r="AM3" s="1624"/>
      <c r="AN3" s="1624" t="str">
        <f>IF(T3="","",T3)</f>
        <v xml:space="preserve">Территория действия тарифа</v>
      </c>
      <c r="AO3" s="1624"/>
      <c r="AP3" s="1624"/>
      <c r="AQ3" s="1631">
        <v>0</v>
      </c>
    </row>
    <row r="4" ht="22.5" hidden="1" customHeight="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401</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402</v>
      </c>
      <c r="AM4" s="1624"/>
      <c r="AN4" s="1624" t="str">
        <f>IF(T4="","",T4)</f>
        <v xml:space="preserve">Наименование системы теплоснабжения</v>
      </c>
      <c r="AO4" s="1624"/>
      <c r="AP4" s="1624"/>
      <c r="AQ4" s="1631">
        <v>0</v>
      </c>
    </row>
    <row r="5" ht="21" hidden="1" customHeight="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403</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404</v>
      </c>
      <c r="AM5" s="1624"/>
      <c r="AN5" s="1624" t="str">
        <f>IF(T5="","",T5)</f>
        <v xml:space="preserve">Источник тепловой энергии</v>
      </c>
      <c r="AO5" s="1624"/>
      <c r="AP5" s="1624"/>
      <c r="AQ5" s="1631">
        <v>0</v>
      </c>
    </row>
    <row r="6" s="1642" customFormat="1" ht="0.75" hidden="1" customHeight="1">
      <c r="A6" s="1375"/>
      <c r="B6" s="1375"/>
      <c r="C6" s="1375"/>
      <c r="D6" s="1375"/>
      <c r="E6" s="2290"/>
      <c r="F6" s="2290"/>
      <c r="G6" s="2290"/>
      <c r="H6" s="2290"/>
      <c r="I6" s="2127">
        <f>S5&amp;".1"</f>
      </c>
      <c r="J6" s="1375"/>
      <c r="K6" s="1375"/>
      <c r="L6" s="1381" t="s">
        <v>405</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r="7" s="1642" customFormat="1" ht="0.75" hidden="1" customHeight="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r="8" ht="21" hidden="1" customHeight="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65</v>
      </c>
      <c r="Z8" s="1992"/>
      <c r="AA8" s="1990" t="s">
        <v>65</v>
      </c>
      <c r="AB8" s="1996"/>
      <c r="AC8" s="1997" t="s">
        <v>22</v>
      </c>
      <c r="AD8" s="751"/>
      <c r="AE8" s="1257"/>
      <c r="AF8" s="1955"/>
      <c r="AG8" s="1942" t="s">
        <v>65</v>
      </c>
      <c r="AH8" s="1955"/>
      <c r="AI8" s="1942" t="s">
        <v>65</v>
      </c>
      <c r="AJ8" s="1348"/>
      <c r="AK8" s="2253" t="s">
        <v>466</v>
      </c>
      <c r="AL8" s="1636">
        <f>STRCHECKDATE(#REF!)</f>
      </c>
      <c r="AM8" s="1624"/>
      <c r="AN8" s="1624" t="str">
        <f>IF(T8="","",T8)</f>
        <v/>
      </c>
      <c r="AO8" s="1624"/>
      <c r="AP8" s="1624"/>
      <c r="AQ8" s="1631">
        <v>0</v>
      </c>
    </row>
    <row r="9" ht="11.25" hidden="1" customHeight="1">
      <c r="A9" s="1267"/>
      <c r="B9" s="1267"/>
      <c r="C9" s="1267"/>
      <c r="D9" s="1267"/>
      <c r="E9" s="2290"/>
      <c r="F9" s="2290"/>
      <c r="G9" s="2290"/>
      <c r="H9" s="2290"/>
      <c r="I9" s="2101"/>
      <c r="J9" s="2127"/>
      <c r="K9" s="1267"/>
      <c r="L9" s="1310"/>
      <c r="P9" s="2257"/>
      <c r="Q9" s="2257"/>
      <c r="R9" s="356"/>
      <c r="S9" s="1278"/>
      <c r="T9" s="287" t="s">
        <v>470</v>
      </c>
      <c r="U9" s="600"/>
      <c r="V9" s="600"/>
      <c r="W9" s="600"/>
      <c r="X9" s="600"/>
      <c r="Y9" s="600"/>
      <c r="Z9" s="600"/>
      <c r="AA9" s="600"/>
      <c r="AB9" s="600"/>
      <c r="AC9" s="600"/>
      <c r="AD9" s="600"/>
      <c r="AE9" s="600"/>
      <c r="AF9" s="600"/>
      <c r="AG9" s="600"/>
      <c r="AH9" s="600"/>
      <c r="AI9" s="600"/>
      <c r="AJ9" s="324"/>
      <c r="AK9" s="2255"/>
      <c r="AM9" s="1624"/>
      <c r="AN9" s="1624" t="str">
        <f>IF(T9="","",T9)</f>
        <v xml:space="preserve">Добавить строку</v>
      </c>
      <c r="AO9" s="1624"/>
      <c r="AP9" s="1624"/>
      <c r="AQ9" s="1631">
        <v>0</v>
      </c>
    </row>
    <row r="10" s="1642" customFormat="1" ht="0.75" hidden="1" customHeight="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r="11" s="1642" customFormat="1" ht="0.75" hidden="1" customHeight="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r="12" s="1642" customFormat="1" ht="0.75" hidden="1" customHeight="1">
      <c r="A12" s="1375"/>
      <c r="B12" s="1375"/>
      <c r="C12" s="1375"/>
      <c r="D12" s="1374"/>
      <c r="E12" s="2290"/>
      <c r="F12" s="2290"/>
      <c r="G12" s="2289"/>
      <c r="H12" s="1374"/>
      <c r="I12" s="1374"/>
      <c r="J12" s="1374"/>
      <c r="K12" s="1374"/>
      <c r="L12" s="1377"/>
      <c r="M12" s="1378"/>
      <c r="N12" s="1378"/>
      <c r="O12" s="351"/>
      <c r="P12" s="1316"/>
      <c r="Q12" s="1317"/>
      <c r="R12" s="1316"/>
      <c r="S12" s="1322"/>
      <c r="T12" s="1325" t="s">
        <v>416</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 xml:space="preserve">Добавить источник для дифференциации</v>
      </c>
      <c r="AO12" s="1251"/>
      <c r="AP12" s="1251"/>
      <c r="AQ12" s="1642">
        <v>0</v>
      </c>
    </row>
    <row r="13" s="1642" customFormat="1" ht="0.75" hidden="1" customHeight="1">
      <c r="A13" s="1375"/>
      <c r="B13" s="1375"/>
      <c r="C13" s="1374"/>
      <c r="D13" s="1374"/>
      <c r="E13" s="2290"/>
      <c r="F13" s="2289"/>
      <c r="G13" s="1374"/>
      <c r="H13" s="1374"/>
      <c r="I13" s="1374"/>
      <c r="J13" s="1374"/>
      <c r="K13" s="1374"/>
      <c r="L13" s="1377"/>
      <c r="M13" s="1379"/>
      <c r="N13" s="1379"/>
      <c r="O13" s="351"/>
      <c r="P13" s="1316"/>
      <c r="Q13" s="1317"/>
      <c r="R13" s="1316"/>
      <c r="S13" s="1322"/>
      <c r="T13" s="1325" t="s">
        <v>417</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 xml:space="preserve">Добавить централизованную систему для дифференциации</v>
      </c>
      <c r="AO13" s="1251"/>
      <c r="AP13" s="1251"/>
      <c r="AQ13" s="1642">
        <v>0</v>
      </c>
    </row>
    <row r="14" s="1642" customFormat="1" ht="0.75" hidden="1" customHeight="1">
      <c r="A14" s="1375"/>
      <c r="B14" s="1375"/>
      <c r="C14" s="1375"/>
      <c r="D14" s="1375"/>
      <c r="E14" s="2289"/>
      <c r="F14" s="1375"/>
      <c r="G14" s="1375"/>
      <c r="H14" s="1375"/>
      <c r="I14" s="1375"/>
      <c r="J14" s="1375"/>
      <c r="K14" s="1375"/>
      <c r="L14" s="1381"/>
      <c r="M14" s="1379"/>
      <c r="N14" s="1379"/>
      <c r="O14" s="351"/>
      <c r="P14" s="380"/>
      <c r="Q14" s="1344"/>
      <c r="R14" s="380"/>
      <c r="S14" s="1322"/>
      <c r="T14" s="1325" t="s">
        <v>418</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 xml:space="preserve">Добавить территорию для дифференциации</v>
      </c>
      <c r="AO14" s="1624"/>
      <c r="AP14" s="1624"/>
      <c r="AQ14" s="1636">
        <v>0</v>
      </c>
    </row>
    <row r="15" ht="14.25" hidden="1" customHeight="1">
      <c r="AQ15" s="1631">
        <v>0</v>
      </c>
    </row>
    <row r="16" ht="14.25" hidden="1" customHeight="1">
      <c r="AC16" s="1502"/>
      <c r="AD16" s="1403"/>
      <c r="AE16" s="1404"/>
      <c r="AF16" s="1736"/>
      <c r="AG16" s="1966" t="s">
        <v>65</v>
      </c>
      <c r="AH16" s="1736"/>
      <c r="AI16" s="1966" t="s">
        <v>65</v>
      </c>
      <c r="AQ16" s="1631">
        <v>0</v>
      </c>
    </row>
    <row r="17" ht="14.25" hidden="1" customHeight="1">
      <c r="AL17" s="1641"/>
      <c r="AM17" s="1641"/>
      <c r="AN17" s="1641"/>
      <c r="AO17" s="1641"/>
      <c r="AP17" s="1641"/>
      <c r="AQ17" s="1631">
        <v>0</v>
      </c>
    </row>
    <row r="18" ht="14.25" hidden="1" customHeight="1">
      <c r="O18" s="1345" t="s">
        <v>419</v>
      </c>
      <c r="X18" s="1345"/>
      <c r="Z18" s="1345"/>
      <c r="AF18" s="1345"/>
      <c r="AH18" s="1345"/>
      <c r="AL18" s="1641"/>
      <c r="AM18" s="1641"/>
      <c r="AN18" s="1641"/>
      <c r="AO18" s="1641"/>
      <c r="AP18" s="1641"/>
      <c r="AQ18" s="1631">
        <v>0</v>
      </c>
    </row>
    <row r="19" ht="14.25" hidden="1" customHeight="1">
      <c r="AL19" s="1641"/>
      <c r="AM19" s="1641"/>
      <c r="AN19" s="1641"/>
      <c r="AO19" s="1641"/>
      <c r="AP19" s="1641"/>
      <c r="AQ19" s="1631">
        <v>0</v>
      </c>
    </row>
    <row r="20" s="1509" customFormat="1" ht="14.25" hidden="1" customHeight="1">
      <c r="A20" s="1971"/>
      <c r="B20" s="1971"/>
      <c r="C20" s="1971"/>
      <c r="D20" s="1971"/>
      <c r="E20" s="1971"/>
      <c r="F20" s="1971"/>
      <c r="G20" s="1971"/>
      <c r="H20" s="1971"/>
      <c r="I20" s="1971"/>
      <c r="J20" s="1971"/>
      <c r="K20" s="1971"/>
      <c r="L20" s="1971"/>
      <c r="M20" s="1972"/>
      <c r="N20" s="1972"/>
      <c r="O20" s="1973" t="s">
        <v>420</v>
      </c>
      <c r="P20" s="1508"/>
      <c r="Q20" s="1510"/>
      <c r="R20" s="1510"/>
      <c r="Y20" s="1507" t="s">
        <v>422</v>
      </c>
      <c r="AA20" s="1507" t="s">
        <v>423</v>
      </c>
      <c r="AC20" s="1507" t="s">
        <v>472</v>
      </c>
      <c r="AG20" s="1507" t="s">
        <v>422</v>
      </c>
      <c r="AI20" s="1507" t="s">
        <v>423</v>
      </c>
      <c r="AL20" s="1511"/>
      <c r="AM20" s="1511"/>
      <c r="AN20" s="1511"/>
      <c r="AO20" s="1511"/>
      <c r="AP20" s="1511"/>
      <c r="AQ20" s="1507">
        <v>0</v>
      </c>
    </row>
    <row r="21" ht="14.25" hidden="1" customHeight="1">
      <c r="O21" s="1310"/>
      <c r="AL21" s="1641"/>
      <c r="AM21" s="1641"/>
      <c r="AN21" s="1641"/>
      <c r="AO21" s="1641"/>
      <c r="AP21" s="1641"/>
      <c r="AQ21" s="1631">
        <v>0</v>
      </c>
    </row>
    <row r="22" ht="14.25" hidden="1" customHeight="1">
      <c r="O22" s="1310"/>
      <c r="AL22" s="1641"/>
      <c r="AM22" s="1641"/>
      <c r="AN22" s="1641"/>
      <c r="AO22" s="1641"/>
      <c r="AP22" s="1641"/>
      <c r="AQ22" s="1631">
        <v>0</v>
      </c>
    </row>
    <row r="23" ht="14.65" customHeight="1">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r="24" ht="39.75" customHeight="1">
      <c r="Q24" s="291"/>
      <c r="R24" s="376"/>
      <c r="S24" s="2248" t="str">
        <f>IF(TEMPLATE_GROUP="P",PT_P_FORM_HEAT_7_NAME_FORM,PT_R_FORM_HEAT_24_NAME_FORM)</f>
        <v xml:space="preserve">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r="25" ht="14.65" customHeight="1">
      <c r="Q25" s="291"/>
      <c r="R25" s="376"/>
      <c r="S25" s="2249" t="str">
        <f>IF(org=0,"Не определено",org)</f>
        <v xml:space="preserve">филиал ПАО "ОГК-2" - Рязанская ГРЭС</v>
      </c>
      <c r="T25" s="2249"/>
      <c r="U25" s="2249"/>
      <c r="V25" s="2249"/>
      <c r="W25" s="2249"/>
      <c r="X25" s="2249"/>
      <c r="Y25" s="2249"/>
      <c r="Z25" s="2249"/>
      <c r="AA25" s="2249"/>
      <c r="AB25" s="2249"/>
      <c r="AC25" s="2249"/>
      <c r="AD25" s="2249"/>
      <c r="AE25" s="2249"/>
      <c r="AF25" s="2249"/>
      <c r="AG25" s="2249"/>
      <c r="AH25" s="2249"/>
      <c r="AI25" s="1243"/>
      <c r="AQ25" s="1631">
        <v>14</v>
      </c>
    </row>
    <row r="26" ht="14.25" hidden="1" customHeight="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r="27" s="1853" customFormat="1" ht="25.5" hidden="1" customHeight="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r="28" s="1853" customFormat="1" ht="18.75" hidden="1" customHeight="1">
      <c r="A28" s="1248"/>
      <c r="B28" s="1248"/>
      <c r="C28" s="1248"/>
      <c r="D28" s="1248"/>
      <c r="E28" s="1248"/>
      <c r="F28" s="1248"/>
      <c r="G28" s="1248"/>
      <c r="H28" s="1248"/>
      <c r="I28" s="1248"/>
      <c r="J28" s="1248"/>
      <c r="K28" s="1248"/>
      <c r="L28" s="1380"/>
      <c r="M28" s="1248"/>
      <c r="N28" s="1248"/>
      <c r="O28" s="1248"/>
      <c r="P28" s="1368"/>
      <c r="Q28" s="1368"/>
      <c r="S28" s="2250" t="s">
        <v>425</v>
      </c>
      <c r="T28" s="2250"/>
      <c r="U28" s="1372"/>
      <c r="V28" s="2264" t="str">
        <f>IF(TITLE_DATE_PR_CHANGE="",IF(TITLE_DATE_PR="","",TITLE_DATE_PR),TITLE_DATE_PR_CHANGE)</f>
        <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r="29" s="1853" customFormat="1" ht="18.75" hidden="1" customHeight="1">
      <c r="A29" s="1248"/>
      <c r="B29" s="1248"/>
      <c r="C29" s="1248"/>
      <c r="D29" s="1248"/>
      <c r="E29" s="1248"/>
      <c r="F29" s="1248"/>
      <c r="G29" s="1248"/>
      <c r="H29" s="1248"/>
      <c r="I29" s="1248"/>
      <c r="J29" s="1248"/>
      <c r="K29" s="1248"/>
      <c r="L29" s="1380"/>
      <c r="M29" s="1248"/>
      <c r="N29" s="1248"/>
      <c r="O29" s="1248"/>
      <c r="P29" s="1368"/>
      <c r="Q29" s="1368"/>
      <c r="S29" s="2250" t="s">
        <v>426</v>
      </c>
      <c r="T29" s="2250"/>
      <c r="U29" s="1372"/>
      <c r="V29" s="2251" t="str">
        <f>IF(TITLE_NUMBER_PR_CHANGE="",IF(TITLE_NUMBER_PR="","",TITLE_NUMBER_PR),TITLE_NUMBER_PR_CHANGE)</f>
        <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r="30" s="1853" customFormat="1" ht="18.75" hidden="1" customHeight="1">
      <c r="A30" s="1248"/>
      <c r="B30" s="1248"/>
      <c r="C30" s="1248"/>
      <c r="D30" s="1248"/>
      <c r="E30" s="1248"/>
      <c r="F30" s="1248"/>
      <c r="G30" s="1248"/>
      <c r="H30" s="1248"/>
      <c r="I30" s="1248"/>
      <c r="J30" s="1248"/>
      <c r="K30" s="1248"/>
      <c r="L30" s="1380"/>
      <c r="M30" s="1248"/>
      <c r="N30" s="1248"/>
      <c r="O30" s="1248"/>
      <c r="P30" s="1368"/>
      <c r="Q30" s="1368"/>
      <c r="S30" s="2250" t="s">
        <v>43</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r="31" ht="14.25" hidden="1" customHeight="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r="32" s="1853" customFormat="1" ht="18.75" hidden="1" customHeight="1">
      <c r="A32" s="1248"/>
      <c r="B32" s="1248"/>
      <c r="C32" s="1248"/>
      <c r="D32" s="1248"/>
      <c r="E32" s="1248"/>
      <c r="F32" s="1248"/>
      <c r="G32" s="1248"/>
      <c r="H32" s="1248"/>
      <c r="I32" s="1248"/>
      <c r="J32" s="1248"/>
      <c r="K32" s="1248"/>
      <c r="L32" s="1380"/>
      <c r="M32" s="1248"/>
      <c r="N32" s="1248"/>
      <c r="O32" s="1248"/>
      <c r="P32" s="1368"/>
      <c r="Q32" s="1368"/>
      <c r="S32" s="2250" t="s">
        <v>425</v>
      </c>
      <c r="T32" s="2250"/>
      <c r="U32" s="1372"/>
      <c r="V32" s="2264" t="str">
        <f>IF(TITLE_DATE_PR_CHANGE="",IF(TITLE_DATE_PR="","",TITLE_DATE_PR),TITLE_DATE_PR_CHANGE)</f>
        <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r="33" s="1853" customFormat="1" ht="18" hidden="1" customHeight="1">
      <c r="A33" s="1248"/>
      <c r="B33" s="1248"/>
      <c r="C33" s="1248"/>
      <c r="D33" s="1248"/>
      <c r="E33" s="1248"/>
      <c r="F33" s="1248"/>
      <c r="G33" s="1248"/>
      <c r="H33" s="1248"/>
      <c r="I33" s="1248"/>
      <c r="J33" s="1248"/>
      <c r="K33" s="1248"/>
      <c r="L33" s="1380"/>
      <c r="M33" s="1248"/>
      <c r="N33" s="1248"/>
      <c r="O33" s="1248"/>
      <c r="P33" s="1368"/>
      <c r="Q33" s="1368"/>
      <c r="S33" s="2250" t="s">
        <v>426</v>
      </c>
      <c r="T33" s="2250"/>
      <c r="U33" s="1372"/>
      <c r="V33" s="2251" t="str">
        <f>IF(TITLE_NUMBER_PR_CHANGE="",IF(TITLE_NUMBER_PR="","",TITLE_NUMBER_PR),TITLE_NUMBER_PR_CHANGE)</f>
        <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r="34" s="1853" customFormat="1" ht="1.05" customHeight="1">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429</v>
      </c>
      <c r="AB34" s="1642"/>
      <c r="AC34" s="1635"/>
      <c r="AD34" s="1635"/>
      <c r="AE34" s="1635"/>
      <c r="AF34" s="1635"/>
      <c r="AG34" s="1635"/>
      <c r="AH34" s="1635"/>
      <c r="AI34" s="1642" t="s">
        <v>429</v>
      </c>
      <c r="AL34" s="368"/>
      <c r="AM34" s="368"/>
      <c r="AN34" s="368"/>
      <c r="AO34" s="368"/>
      <c r="AP34" s="368"/>
      <c r="AQ34" s="418">
        <v>1</v>
      </c>
    </row>
    <row r="35" ht="14.65" customHeight="1">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r="36" ht="14.65" customHeight="1">
      <c r="Q36" s="291"/>
      <c r="R36" s="376"/>
      <c r="S36" s="2127" t="s">
        <v>302</v>
      </c>
      <c r="T36" s="2127"/>
      <c r="U36" s="2127"/>
      <c r="V36" s="2127"/>
      <c r="W36" s="2127"/>
      <c r="X36" s="2127"/>
      <c r="Y36" s="2127"/>
      <c r="Z36" s="2127"/>
      <c r="AA36" s="2175"/>
      <c r="AB36" s="2175"/>
      <c r="AC36" s="2175"/>
      <c r="AD36" s="2127"/>
      <c r="AE36" s="2127"/>
      <c r="AF36" s="2127"/>
      <c r="AG36" s="2127"/>
      <c r="AH36" s="2127"/>
      <c r="AI36" s="2127"/>
      <c r="AJ36" s="2127"/>
      <c r="AK36" s="2127" t="s">
        <v>303</v>
      </c>
      <c r="AQ36" s="1631">
        <v>14</v>
      </c>
    </row>
    <row r="37" ht="14.65" customHeight="1">
      <c r="Q37" s="291"/>
      <c r="R37" s="376"/>
      <c r="S37" s="2273" t="s">
        <v>87</v>
      </c>
      <c r="T37" s="2209" t="s">
        <v>501</v>
      </c>
      <c r="U37" s="337"/>
      <c r="V37" s="2275"/>
      <c r="W37" s="2275"/>
      <c r="X37" s="2275"/>
      <c r="Y37" s="2275"/>
      <c r="Z37" s="2275"/>
      <c r="AA37" s="2209" t="s">
        <v>432</v>
      </c>
      <c r="AB37" s="2208" t="s">
        <v>502</v>
      </c>
      <c r="AC37" s="2208" t="s">
        <v>476</v>
      </c>
      <c r="AD37" s="2291" t="s">
        <v>431</v>
      </c>
      <c r="AE37" s="2291"/>
      <c r="AF37" s="2275"/>
      <c r="AG37" s="2275"/>
      <c r="AH37" s="2276"/>
      <c r="AI37" s="2277" t="s">
        <v>432</v>
      </c>
      <c r="AJ37" s="2280" t="s">
        <v>434</v>
      </c>
      <c r="AK37" s="2127"/>
      <c r="AQ37" s="1631">
        <v>14</v>
      </c>
    </row>
    <row r="38" ht="35.649999999999999" customHeight="1">
      <c r="Q38" s="291"/>
      <c r="R38" s="376"/>
      <c r="S38" s="2273"/>
      <c r="T38" s="2209"/>
      <c r="U38" s="1031"/>
      <c r="V38" s="2103" t="s">
        <v>479</v>
      </c>
      <c r="W38" s="2127"/>
      <c r="X38" s="2294" t="s">
        <v>438</v>
      </c>
      <c r="Y38" s="2313"/>
      <c r="Z38" s="2313"/>
      <c r="AA38" s="2209"/>
      <c r="AB38" s="2208"/>
      <c r="AC38" s="2208"/>
      <c r="AD38" s="2103" t="s">
        <v>479</v>
      </c>
      <c r="AE38" s="2127"/>
      <c r="AF38" s="2313" t="s">
        <v>438</v>
      </c>
      <c r="AG38" s="2313"/>
      <c r="AH38" s="2314"/>
      <c r="AI38" s="2278"/>
      <c r="AJ38" s="2281"/>
      <c r="AK38" s="2127"/>
      <c r="AQ38" s="1631">
        <v>34</v>
      </c>
    </row>
    <row r="39" ht="14.65" customHeight="1">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r="40" ht="14.65" customHeight="1">
      <c r="A40" s="1266"/>
      <c r="B40" s="1266" t="s">
        <v>139</v>
      </c>
      <c r="C40" s="1266" t="s">
        <v>140</v>
      </c>
      <c r="D40" s="1266" t="s">
        <v>141</v>
      </c>
      <c r="E40" s="1310" t="s">
        <v>439</v>
      </c>
      <c r="F40" s="1310" t="s">
        <v>440</v>
      </c>
      <c r="G40" s="1310" t="s">
        <v>441</v>
      </c>
      <c r="H40" s="1310" t="s">
        <v>442</v>
      </c>
      <c r="I40" s="1310" t="s">
        <v>443</v>
      </c>
      <c r="J40" s="1310" t="s">
        <v>444</v>
      </c>
      <c r="K40" s="1310" t="s">
        <v>445</v>
      </c>
      <c r="L40" s="1310" t="s">
        <v>420</v>
      </c>
      <c r="Q40" s="291"/>
      <c r="R40" s="376"/>
      <c r="S40" s="2273"/>
      <c r="T40" s="2209"/>
      <c r="U40" s="302"/>
      <c r="V40" s="1950" t="s">
        <v>480</v>
      </c>
      <c r="W40" s="1950" t="s">
        <v>481</v>
      </c>
      <c r="X40" s="1938" t="s">
        <v>448</v>
      </c>
      <c r="Y40" s="2270" t="s">
        <v>449</v>
      </c>
      <c r="Z40" s="2320"/>
      <c r="AA40" s="2209"/>
      <c r="AB40" s="2208"/>
      <c r="AC40" s="2208"/>
      <c r="AD40" s="1968" t="s">
        <v>480</v>
      </c>
      <c r="AE40" s="1959" t="s">
        <v>481</v>
      </c>
      <c r="AF40" s="1938" t="s">
        <v>448</v>
      </c>
      <c r="AG40" s="2270" t="s">
        <v>449</v>
      </c>
      <c r="AH40" s="2271"/>
      <c r="AI40" s="2279"/>
      <c r="AJ40" s="2282"/>
      <c r="AK40" s="2127"/>
      <c r="AQ40" s="1631">
        <v>14</v>
      </c>
    </row>
    <row r="41" s="1641" customFormat="1" ht="11.25" hidden="1" customHeight="1">
      <c r="A41" s="1266"/>
      <c r="B41" s="1266"/>
      <c r="C41" s="1266"/>
      <c r="D41" s="1266"/>
      <c r="E41" s="1266"/>
      <c r="F41" s="1266"/>
      <c r="G41" s="1266"/>
      <c r="H41" s="1266"/>
      <c r="I41" s="1266"/>
      <c r="J41" s="1266"/>
      <c r="K41" s="1266"/>
      <c r="L41" s="1310"/>
      <c r="M41" s="1965"/>
      <c r="N41" s="1965"/>
      <c r="O41" s="1965"/>
      <c r="P41" s="510"/>
      <c r="Q41" s="1254"/>
      <c r="R41" s="1254">
        <v>1</v>
      </c>
      <c r="S41" s="1277" t="s">
        <v>109</v>
      </c>
      <c r="T41" s="1255" t="s">
        <v>110</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r="42" ht="107.25" customHeight="1">
      <c r="A42" s="1267" t="s">
        <v>208</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127</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 xml:space="preserve">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 xml:space="preserve">Наименование тарифа</v>
      </c>
      <c r="AO42" s="1624"/>
      <c r="AP42" s="1624"/>
      <c r="AQ42" s="1631">
        <v>102</v>
      </c>
    </row>
    <row r="43" ht="22" customHeight="1">
      <c r="A43" s="1267" t="s">
        <v>208</v>
      </c>
      <c r="B43" s="1267" t="s">
        <v>209</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399</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400</v>
      </c>
      <c r="AM43" s="1624"/>
      <c r="AN43" s="1624" t="str">
        <f>IF(T43="","",T43)</f>
        <v xml:space="preserve">Территория действия тарифа</v>
      </c>
      <c r="AO43" s="1624"/>
      <c r="AP43" s="1624"/>
      <c r="AQ43" s="1631">
        <v>21</v>
      </c>
    </row>
    <row r="44" ht="24" customHeight="1">
      <c r="A44" s="1267" t="s">
        <v>208</v>
      </c>
      <c r="B44" s="1267" t="s">
        <v>209</v>
      </c>
      <c r="C44" s="1267" t="s">
        <v>210</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401</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402</v>
      </c>
      <c r="AM44" s="1624"/>
      <c r="AN44" s="1624" t="str">
        <f>IF(T44="","",T44)</f>
        <v xml:space="preserve">Наименование системы теплоснабжения</v>
      </c>
      <c r="AO44" s="1624"/>
      <c r="AP44" s="1624"/>
      <c r="AQ44" s="1631">
        <v>23</v>
      </c>
    </row>
    <row r="45" ht="22" customHeight="1">
      <c r="A45" s="1267" t="s">
        <v>208</v>
      </c>
      <c r="B45" s="1267" t="s">
        <v>209</v>
      </c>
      <c r="C45" s="1267" t="s">
        <v>210</v>
      </c>
      <c r="D45" s="1267" t="s">
        <v>211</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403</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404</v>
      </c>
      <c r="AM45" s="1624"/>
      <c r="AN45" s="1624" t="str">
        <f>IF(T45="","",T45)</f>
        <v xml:space="preserve">Источник тепловой энергии</v>
      </c>
      <c r="AO45" s="1624"/>
      <c r="AP45" s="1624"/>
      <c r="AQ45" s="1631">
        <v>21</v>
      </c>
    </row>
    <row r="46" s="1642" customFormat="1" ht="0" customHeight="1">
      <c r="A46" s="1375" t="s">
        <v>208</v>
      </c>
      <c r="B46" s="1375" t="s">
        <v>209</v>
      </c>
      <c r="C46" s="1375" t="s">
        <v>210</v>
      </c>
      <c r="D46" s="1375" t="s">
        <v>211</v>
      </c>
      <c r="E46" s="2290"/>
      <c r="F46" s="2290"/>
      <c r="G46" s="2290"/>
      <c r="H46" s="2290"/>
      <c r="I46" s="2127" t="str">
        <f>S45&amp;".1"</f>
        <v>....1</v>
      </c>
      <c r="J46" s="1375"/>
      <c r="K46" s="1375"/>
      <c r="L46" s="1381" t="s">
        <v>405</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r="47" s="1642" customFormat="1" ht="0" customHeight="1">
      <c r="A47" s="1375" t="s">
        <v>208</v>
      </c>
      <c r="B47" s="1375" t="s">
        <v>209</v>
      </c>
      <c r="C47" s="1375" t="s">
        <v>210</v>
      </c>
      <c r="D47" s="1375" t="s">
        <v>211</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r="48" ht="22" customHeight="1">
      <c r="A48" s="1267" t="s">
        <v>208</v>
      </c>
      <c r="B48" s="1267" t="s">
        <v>209</v>
      </c>
      <c r="C48" s="1267" t="s">
        <v>210</v>
      </c>
      <c r="D48" s="1267" t="s">
        <v>211</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65</v>
      </c>
      <c r="Z48" s="1955"/>
      <c r="AA48" s="1942" t="s">
        <v>65</v>
      </c>
      <c r="AB48" s="1964"/>
      <c r="AC48" s="1963" t="s">
        <v>22</v>
      </c>
      <c r="AD48" s="751"/>
      <c r="AE48" s="1257"/>
      <c r="AF48" s="1955"/>
      <c r="AG48" s="1942" t="s">
        <v>65</v>
      </c>
      <c r="AH48" s="1955"/>
      <c r="AI48" s="1942" t="s">
        <v>65</v>
      </c>
      <c r="AJ48" s="1348"/>
      <c r="AK48" s="2253" t="s">
        <v>482</v>
      </c>
      <c r="AL48" s="1636">
        <f>STRCHECKDATE(#REF!)</f>
      </c>
      <c r="AM48" s="1624"/>
      <c r="AN48" s="1624" t="str">
        <f>IF(T48="","",T48)</f>
        <v/>
      </c>
      <c r="AO48" s="1624"/>
      <c r="AP48" s="1624"/>
      <c r="AQ48" s="1631">
        <v>21</v>
      </c>
    </row>
    <row r="49" ht="11.5" customHeight="1">
      <c r="A49" s="1267" t="s">
        <v>208</v>
      </c>
      <c r="B49" s="1267" t="s">
        <v>209</v>
      </c>
      <c r="C49" s="1267" t="s">
        <v>210</v>
      </c>
      <c r="D49" s="1267" t="s">
        <v>211</v>
      </c>
      <c r="E49" s="2290"/>
      <c r="F49" s="2290"/>
      <c r="G49" s="2290"/>
      <c r="H49" s="2290"/>
      <c r="I49" s="2101"/>
      <c r="J49" s="2127"/>
      <c r="K49" s="1267"/>
      <c r="L49" s="1310"/>
      <c r="P49" s="2257"/>
      <c r="Q49" s="2257"/>
      <c r="R49" s="356"/>
      <c r="S49" s="1278"/>
      <c r="T49" s="287" t="s">
        <v>470</v>
      </c>
      <c r="U49" s="600"/>
      <c r="V49" s="600"/>
      <c r="W49" s="600"/>
      <c r="X49" s="600"/>
      <c r="Y49" s="600"/>
      <c r="Z49" s="600"/>
      <c r="AA49" s="324"/>
      <c r="AB49" s="600"/>
      <c r="AC49" s="600"/>
      <c r="AD49" s="600"/>
      <c r="AE49" s="600"/>
      <c r="AF49" s="600"/>
      <c r="AG49" s="600"/>
      <c r="AH49" s="600"/>
      <c r="AI49" s="600"/>
      <c r="AJ49" s="324"/>
      <c r="AK49" s="2255"/>
      <c r="AM49" s="1624"/>
      <c r="AN49" s="1624" t="str">
        <f>IF(T49="","",T49)</f>
        <v xml:space="preserve">Добавить строку</v>
      </c>
      <c r="AO49" s="1624"/>
      <c r="AP49" s="1624"/>
      <c r="AQ49" s="1631">
        <v>11</v>
      </c>
    </row>
    <row r="50" s="1642" customFormat="1" ht="1.05" customHeight="1">
      <c r="A50" s="1375" t="s">
        <v>208</v>
      </c>
      <c r="B50" s="1375" t="s">
        <v>209</v>
      </c>
      <c r="C50" s="1375" t="s">
        <v>210</v>
      </c>
      <c r="D50" s="1375" t="s">
        <v>211</v>
      </c>
      <c r="E50" s="2290"/>
      <c r="F50" s="2290"/>
      <c r="G50" s="2290"/>
      <c r="H50" s="2290"/>
      <c r="I50" s="2127"/>
      <c r="J50" s="1375"/>
      <c r="K50" s="1375"/>
      <c r="L50" s="1381"/>
      <c r="M50" s="1246"/>
      <c r="N50" s="1246"/>
      <c r="O50" s="1246"/>
      <c r="P50" s="2257"/>
      <c r="Q50" s="1954"/>
      <c r="R50" s="356"/>
      <c r="S50" s="1386"/>
      <c r="T50" s="1387" t="s">
        <v>414</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 xml:space="preserve">Добавить группу потребителей</v>
      </c>
      <c r="AO50" s="1624"/>
      <c r="AP50" s="1624"/>
      <c r="AQ50" s="1636">
        <v>1</v>
      </c>
    </row>
    <row r="51" s="1641" customFormat="1" ht="1.05" customHeight="1">
      <c r="A51" s="1375" t="s">
        <v>208</v>
      </c>
      <c r="B51" s="1375" t="s">
        <v>209</v>
      </c>
      <c r="C51" s="1375" t="s">
        <v>210</v>
      </c>
      <c r="D51" s="1375" t="s">
        <v>211</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r="52" s="1642" customFormat="1" ht="1.05" customHeight="1">
      <c r="A52" s="1375" t="s">
        <v>208</v>
      </c>
      <c r="B52" s="1375" t="s">
        <v>209</v>
      </c>
      <c r="C52" s="1375" t="s">
        <v>210</v>
      </c>
      <c r="D52" s="1374"/>
      <c r="E52" s="2290"/>
      <c r="F52" s="2290"/>
      <c r="G52" s="2289"/>
      <c r="H52" s="1374"/>
      <c r="I52" s="1374"/>
      <c r="J52" s="1374"/>
      <c r="K52" s="1374"/>
      <c r="L52" s="1377"/>
      <c r="M52" s="1378"/>
      <c r="N52" s="1378"/>
      <c r="O52" s="351"/>
      <c r="P52" s="1316"/>
      <c r="Q52" s="1317"/>
      <c r="R52" s="1316"/>
      <c r="S52" s="1322"/>
      <c r="T52" s="1325" t="s">
        <v>416</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 xml:space="preserve">Добавить источник для дифференциации</v>
      </c>
      <c r="AO52" s="1251"/>
      <c r="AP52" s="1251"/>
      <c r="AQ52" s="1642">
        <v>1</v>
      </c>
    </row>
    <row r="53" s="1642" customFormat="1" ht="1.05" customHeight="1">
      <c r="A53" s="1375" t="s">
        <v>208</v>
      </c>
      <c r="B53" s="1375" t="s">
        <v>209</v>
      </c>
      <c r="C53" s="1374"/>
      <c r="D53" s="1374"/>
      <c r="E53" s="2290"/>
      <c r="F53" s="2289"/>
      <c r="G53" s="1374"/>
      <c r="H53" s="1374"/>
      <c r="I53" s="1374"/>
      <c r="J53" s="1374"/>
      <c r="K53" s="1374"/>
      <c r="L53" s="1377"/>
      <c r="M53" s="1379"/>
      <c r="N53" s="1379"/>
      <c r="O53" s="351"/>
      <c r="P53" s="1316"/>
      <c r="Q53" s="1317"/>
      <c r="R53" s="1316"/>
      <c r="S53" s="1322"/>
      <c r="T53" s="1325" t="s">
        <v>417</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 xml:space="preserve">Добавить централизованную систему для дифференциации</v>
      </c>
      <c r="AO53" s="1251"/>
      <c r="AP53" s="1251"/>
      <c r="AQ53" s="1642">
        <v>1</v>
      </c>
    </row>
    <row r="54" s="1642" customFormat="1" ht="1.05" customHeight="1">
      <c r="A54" s="1375" t="s">
        <v>208</v>
      </c>
      <c r="B54" s="1375"/>
      <c r="C54" s="1375"/>
      <c r="D54" s="1375"/>
      <c r="E54" s="2290"/>
      <c r="F54" s="1375"/>
      <c r="G54" s="1375"/>
      <c r="H54" s="1375"/>
      <c r="I54" s="1375"/>
      <c r="J54" s="1375"/>
      <c r="K54" s="1375"/>
      <c r="L54" s="1381"/>
      <c r="M54" s="1379"/>
      <c r="N54" s="1379"/>
      <c r="O54" s="351"/>
      <c r="P54" s="380"/>
      <c r="Q54" s="1344"/>
      <c r="R54" s="380"/>
      <c r="S54" s="1322"/>
      <c r="T54" s="1325" t="s">
        <v>418</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 xml:space="preserve">Добавить территорию для дифференциации</v>
      </c>
      <c r="AO54" s="1624"/>
      <c r="AP54" s="1624"/>
      <c r="AQ54" s="1636">
        <v>1</v>
      </c>
    </row>
    <row r="55" s="1642" customFormat="1" ht="1.05" customHeight="1">
      <c r="A55" s="1375" t="s">
        <v>208</v>
      </c>
      <c r="B55" s="1375"/>
      <c r="C55" s="1375"/>
      <c r="D55" s="1375"/>
      <c r="E55" s="2289"/>
      <c r="F55" s="1375"/>
      <c r="G55" s="1375"/>
      <c r="H55" s="1375"/>
      <c r="I55" s="1375"/>
      <c r="J55" s="1375"/>
      <c r="K55" s="1375"/>
      <c r="L55" s="1381"/>
      <c r="M55" s="1379"/>
      <c r="N55" s="1379"/>
      <c r="O55" s="351"/>
      <c r="P55" s="380"/>
      <c r="Q55" s="1344"/>
      <c r="R55" s="380"/>
      <c r="S55" s="1322"/>
      <c r="T55" s="1325" t="s">
        <v>418</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 xml:space="preserve">Добавить территорию для дифференциации</v>
      </c>
      <c r="AO55" s="1624"/>
      <c r="AP55" s="1624"/>
      <c r="AQ55" s="1636">
        <v>1</v>
      </c>
    </row>
    <row r="56" s="1642" customFormat="1" ht="1.05" customHeight="1">
      <c r="A56" s="1374"/>
      <c r="B56" s="1374"/>
      <c r="C56" s="1374"/>
      <c r="D56" s="1374"/>
      <c r="E56" s="1375"/>
      <c r="F56" s="1374"/>
      <c r="G56" s="1374"/>
      <c r="H56" s="1374"/>
      <c r="I56" s="1374"/>
      <c r="J56" s="1374"/>
      <c r="K56" s="1374"/>
      <c r="L56" s="1377"/>
      <c r="M56" s="1379"/>
      <c r="N56" s="1379"/>
      <c r="O56" s="351"/>
      <c r="P56" s="1316"/>
      <c r="Q56" s="1317"/>
      <c r="R56" s="1316"/>
      <c r="S56" s="1322"/>
      <c r="T56" s="1325" t="s">
        <v>450</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 xml:space="preserve">Добавить наименование тарифа</v>
      </c>
      <c r="AO56" s="1251"/>
      <c r="AP56" s="1251"/>
      <c r="AQ56" s="1642">
        <v>1</v>
      </c>
    </row>
    <row r="57" ht="11.5" customHeight="1">
      <c r="M57" s="1631"/>
      <c r="N57" s="1631"/>
      <c r="O57" s="1635"/>
      <c r="P57" s="1366"/>
      <c r="Q57" s="1366"/>
      <c r="R57" s="1631"/>
      <c r="S57" s="1631"/>
      <c r="AL57" s="1631"/>
      <c r="AM57" s="1631"/>
      <c r="AN57" s="1631"/>
      <c r="AO57" s="1631"/>
      <c r="AP57" s="1631"/>
      <c r="AQ57" s="1631">
        <v>11</v>
      </c>
    </row>
    <row r="58" ht="19.949999999999999" customHeight="1">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r="59" ht="21" customHeight="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r="60" ht="14.65" customHeight="1">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r="61" ht="19.949999999999999" customHeight="1">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r="62" ht="16.800000000000001" customHeight="1">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r="63" ht="14.65" customHeight="1">
      <c r="O63" s="1635"/>
      <c r="AQ63" s="1631">
        <v>14</v>
      </c>
    </row>
    <row r="64" ht="22.5" hidden="1" customHeight="1">
      <c r="A64" s="1631" t="s">
        <v>81</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autoFilter="0" deleteColumns="0" deleteRows="0" insertColumns="1" insertRows="0" sort="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5">
    <dataValidation sqref="S131122:AK131128 S196658:AK196664 S262194:AK262200 S327730:AK327736 S393266:AK393272 S458802:AK458808 S524338:AK524344 S589874:AK589880 S655410:AK655416 S720946:AK720952 S786482:AK786488 S852018:AK852024 S917554:AK917560 S983090:AK983096 S65586:AK65592" allowBlank="1"/>
    <dataValidation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allowBlank="1" prompt="Для выбора выполните двойной щелчок левой клавиши мыши по соответствующей ячейке." showErrorMessage="1" showInputMessage="1"/>
    <dataValidation sqref="W65585 W131121 W196657 W262193 W327729 W393265 W458801 W524337 W589873 W655409 W720945 W786481 W852017 W917553 W983089 AE65585 AE131121 AE196657 AE262193 AE327729 AE393265 AE458801 AE524337 AE589873 AE655409 AE720945 AE786481 AE852017 AE917553 AE983089" allowBlank="1" promptTitle="checkPeriodRange"/>
    <dataValidation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allowBlank="1" prompt="Выберите дату из календаря (иконка справа от указанной ячейки), либо введите дату непосредственно в ячейку в формате - 'ДД.ММ.ГГГГ'." showErrorMessage="1" showInputMessage="1"/>
    <dataValidation sqref="V39:W39" allowBlank="1" error="Выберите значение из списка" errorTitle="Ошибка"/>
  </dataValidations>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6">
        <x14:dataValidation xr:uid="{00FC004F-00C3-4518-8F66-004600D1002D}" type="decimal" allowBlank="1" error="Допускается ввод только действительных чисел!" errorTitle="Ошибка" showErrorMessage="1">
          <x14:formula1>
            <xm:f>-9.99999999999999E+23</xm:f>
          </x14:formula1>
          <x14:formula2>
            <xm:f>9.99999999999999E+23</xm:f>
          </x14:formula2>
          <xm:sqref>AC48 AC8</xm:sqref>
        </x14:dataValidation>
        <x14:dataValidation xr:uid="{004D00AB-00D5-48D2-8184-003800C100FF}" type="list" allowBlank="1" error="Выберите значение из списка" errorTitle="Ошибка" prompt="Выберите значение из списка" showInputMessage="1">
          <x14:formula1>
            <xm:f>kind_of_cons</xm:f>
          </x14:formula1>
          <xm:sqref>V917551:AJ917551 V983087:AJ983087 V65583:AJ65583 V131119:AJ131119 V196655:AJ196655 V262191:AJ262191 V327727:AJ327727 V393263:AJ393263 V458799:AJ458799 V524335:AJ524335 V589871:AJ589871 V655407:AJ655407 V720943:AJ720943 V786479:AJ786479 V852015:AJ852015</xm:sqref>
        </x14:dataValidation>
        <x14:dataValidation xr:uid="{008F00F4-004D-4281-8AEB-004A00F10043}" type="list" allowBlank="1" error="Выберите значение из списка" errorTitle="Ошибка" showErrorMessage="1" showInputMessage="1">
          <x14:formula1>
            <xm:f>kind_of_scheme_in</xm:f>
          </x14:formula1>
          <xm:sqref>AC983086 AC917550 AC852014 AC786478 AC720942 AC655406 AC589870 AC524334 AC458798 AC393262 AC327726 AC262190 AC196654 AC131118 AC65582</xm:sqref>
        </x14:dataValidation>
        <x14:dataValidation xr:uid="{00CE0036-0073-42A1-81D0-00A400E80058}" type="textLength" allowBlank="1" error="Допускается ввод не более 900 символов!" errorTitle="Ошибка" operator="lessThanOrEqual" showErrorMessage="1" showInputMessage="1">
          <x14:formula1>
            <xm:f>900</xm:f>
          </x14:formula1>
          <xm:sqref>AK65578:AK65585 AK131114:AK131121 AK196650:AK196657 AK262186:AK262193 AK327722:AK327729 AK393258:AK393265 AK458794:AK458801 AK524330:AK524337 AK589866:AK589873 AK655402:AK655409 AK720938:AK720945 AK786474:AK786481 AK852010:AK852017 AK917546:AK917553 AK983082:AK983089 T8 T48 AB48 AB8</xm:sqref>
        </x14:dataValidation>
        <x14:dataValidation xr:uid="{003F0059-00FA-4E3F-8CE9-00AB007C0044}" type="list" allowBlank="1" error="Выберите значение из списка" errorTitle="Ошибка" showErrorMessage="1" showInputMessage="1">
          <x14:formula1>
            <xm:f>kind_of_heat_transfer</xm:f>
          </x14:formula1>
          <xm:sqref>T65584 T131120 T196656 T262192 T327728 T393264 T458800 T524336 T589872 T655408 T720944 T786480 T852016 T917552 T983088</xm:sqref>
        </x14:dataValidation>
        <x14:dataValidation xr:uid="{00AA00DC-0068-4B67-A9B5-00BD009200BC}" type="list" allowBlank="1" error="Выберите значение из списка" errorTitle="Ошибка" prompt="Выберите значение из списка" showErrorMessage="1" showInputMessage="1">
          <x14:formula1>
            <xm:f>UNIT_CONNECT_LIST</xm:f>
          </x14:formula1>
          <xm:sqref>AD39:AE39</xm:sqref>
        </x14:dataValidation>
      </x14:dataValidations>
    </ext>
  </extLs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sheetPr>
  <sheetViews>
    <sheetView showGridLines="0" topLeftCell="A1" zoomScale="90" workbookViewId="0">
      <selection activeCell="A1" sqref="A1"/>
    </sheetView>
  </sheetViews>
  <sheetFormatPr defaultColWidth="10.57421875" defaultRowHeight="14.25" customHeight="1"/>
  <cols>
    <col customWidth="1" hidden="1" min="1" max="1" style="1366" width="11.57421875"/>
    <col customWidth="1" hidden="1" min="2" max="2" style="1366" width="11.00390625"/>
    <col hidden="1" min="3" max="3" style="1366" width="10.57421875"/>
    <col customWidth="1" hidden="1" min="4" max="4" style="1366" width="12.8515625"/>
    <col customWidth="1" hidden="1" min="5" max="5" style="1366" width="10.00390625"/>
    <col customWidth="1" hidden="1" min="6" max="6" style="1366" width="8.7109375"/>
    <col customWidth="1" hidden="1" min="7" max="7" style="1366" width="7.57421875"/>
    <col customWidth="1" hidden="1" min="8" max="8" style="1366" width="11.421875"/>
    <col customWidth="1" hidden="1" min="9" max="9" style="1366" width="12.00390625"/>
    <col customWidth="1" hidden="1" min="10" max="10" style="1366" width="9.8515625"/>
    <col customWidth="1" hidden="1" min="11" max="11" style="1366" width="11.421875"/>
    <col customWidth="1" hidden="1" min="12" max="12" style="2607" width="19.140625"/>
    <col customWidth="1" hidden="1" min="13" max="14" style="1776" width="12.28125"/>
    <col customWidth="1" hidden="1" min="15" max="15" style="1776" width="23.421875"/>
    <col customWidth="1" hidden="1" min="16" max="16" style="1776" width="3.7109375"/>
    <col customWidth="1" hidden="1" min="17" max="17" style="1371" width="3.7109375"/>
    <col customWidth="1" min="18" max="18" style="344" width="3.00390625"/>
    <col customWidth="1" min="19" max="19" style="2407" width="12.00390625"/>
    <col customWidth="1" min="20" max="20" style="1635" width="31.00390625"/>
    <col customWidth="1" min="21" max="21" style="1635" width="0.140625"/>
    <col customWidth="1" hidden="1" min="22" max="25" style="1635" width="21.7109375"/>
    <col customWidth="1" hidden="1" min="26" max="26" style="1635" width="11.7109375"/>
    <col customWidth="1" hidden="1" min="27" max="27" style="1635" width="3.7109375"/>
    <col customWidth="1" hidden="1" min="28" max="28" style="1635" width="11.7109375"/>
    <col customWidth="1" hidden="1" min="29" max="29" style="1635" width="8.57421875"/>
    <col customWidth="1" min="30" max="30" style="1635" width="3.7109375"/>
    <col customWidth="1" min="31" max="32" style="1635" width="3.00390625"/>
    <col customWidth="1" min="33" max="33" style="1635" width="24.00390625"/>
    <col customWidth="1" min="34" max="34" style="1635" width="3.7109375"/>
    <col customWidth="1" min="35" max="36" style="1635" width="3.00390625"/>
    <col customWidth="1" min="37" max="37" style="1635" width="24.00390625"/>
    <col customWidth="1" min="38" max="38" style="1635" width="3.7109375"/>
    <col customWidth="1" min="39" max="40" style="1635" width="3.00390625"/>
    <col customWidth="1" min="41" max="41" style="1635" width="18.00390625"/>
    <col customWidth="1" min="42" max="42" style="1635" width="3.7109375"/>
    <col customWidth="1" min="43" max="44" style="1635" width="3.00390625"/>
    <col customWidth="1" min="45" max="45" style="1635" width="18.00390625"/>
    <col customWidth="1" min="46" max="49" style="1635" width="21.00390625"/>
    <col customWidth="1" min="50" max="50" style="1635" width="11.00390625"/>
    <col customWidth="1" min="51" max="51" style="1635" width="3.7109375"/>
    <col customWidth="1" min="52" max="52" style="1635" width="11.00390625"/>
    <col customWidth="1" hidden="1" min="53" max="53" style="1635" width="8.57421875"/>
    <col customWidth="1" min="54" max="54" style="1635" width="4.00390625"/>
    <col customWidth="1" min="55" max="55" style="1635" width="115.00390625"/>
    <col customWidth="1" min="56" max="60" style="1642" width="10.00390625"/>
    <col hidden="1" min="61" max="61" style="1635" width="10.57421875"/>
  </cols>
  <sheetData>
    <row r="1" ht="22.5" hidden="1" customHeight="1">
      <c r="W1" s="327"/>
      <c r="Y1" s="327"/>
      <c r="Z1" s="327"/>
      <c r="AW1" s="327"/>
      <c r="AX1" s="327"/>
      <c r="BI1" s="1155" t="s">
        <v>14</v>
      </c>
    </row>
    <row r="2" ht="21" hidden="1" customHeight="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127</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 xml:space="preserve">Наименование тарифа</v>
      </c>
      <c r="BG2" s="500"/>
      <c r="BH2" s="500"/>
      <c r="BI2" s="1155">
        <v>0</v>
      </c>
    </row>
    <row r="3" ht="21" hidden="1" customHeight="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399</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400</v>
      </c>
      <c r="BE3" s="500"/>
      <c r="BF3" s="500" t="str">
        <f>IF(T3="","",T3)</f>
        <v xml:space="preserve">Территория действия тарифа</v>
      </c>
      <c r="BG3" s="500"/>
      <c r="BH3" s="500"/>
      <c r="BI3" s="1155">
        <v>0</v>
      </c>
    </row>
    <row r="4" ht="42" hidden="1" customHeight="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483</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484</v>
      </c>
      <c r="BE4" s="500"/>
      <c r="BF4" s="500" t="str">
        <f>IF(T4="","",T4)</f>
        <v xml:space="preserve">Наименование централизованной системы холодного водоснабжения</v>
      </c>
      <c r="BG4" s="500"/>
      <c r="BH4" s="500"/>
      <c r="BI4" s="1155">
        <v>0</v>
      </c>
    </row>
    <row r="5" s="1642" customFormat="1" ht="14.25" hidden="1" customHeight="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404</v>
      </c>
      <c r="BE5" s="500"/>
      <c r="BF5" s="500" t="str">
        <f>IF(T5="","",T5)</f>
        <v/>
      </c>
      <c r="BG5" s="500"/>
      <c r="BH5" s="500"/>
      <c r="BI5" s="511">
        <v>0</v>
      </c>
    </row>
    <row r="6" s="1642" customFormat="1" ht="14.25" hidden="1" customHeight="1">
      <c r="A6" s="1343"/>
      <c r="B6" s="1343"/>
      <c r="C6" s="1343"/>
      <c r="D6" s="1343"/>
      <c r="E6" s="2259"/>
      <c r="F6" s="2259"/>
      <c r="G6" s="2259"/>
      <c r="H6" s="2259"/>
      <c r="I6" s="2256" t="str">
        <f>S5&amp;".1"</f>
        <v>.1</v>
      </c>
      <c r="J6" s="1343"/>
      <c r="K6" s="1343"/>
      <c r="L6" s="1346" t="s">
        <v>405</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r="7" s="1642" customFormat="1" ht="14.25" hidden="1" customHeight="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r="8" ht="11.25" hidden="1" customHeight="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65</v>
      </c>
      <c r="AB8" s="1734"/>
      <c r="AC8" s="1459" t="s">
        <v>65</v>
      </c>
      <c r="AD8" s="2185" t="s">
        <v>65</v>
      </c>
      <c r="AE8" s="2326"/>
      <c r="AF8" s="2205">
        <v>1</v>
      </c>
      <c r="AG8" s="2363"/>
      <c r="AH8" s="2107" t="s">
        <v>65</v>
      </c>
      <c r="AI8" s="2326"/>
      <c r="AJ8" s="2205">
        <v>1</v>
      </c>
      <c r="AK8" s="2327" t="s">
        <v>22</v>
      </c>
      <c r="AL8" s="2107" t="s">
        <v>65</v>
      </c>
      <c r="AM8" s="2192"/>
      <c r="AN8" s="2205">
        <v>1</v>
      </c>
      <c r="AO8" s="2357"/>
      <c r="AP8" s="2358" t="s">
        <v>65</v>
      </c>
      <c r="AQ8" s="311"/>
      <c r="AR8" s="1463">
        <v>1</v>
      </c>
      <c r="AS8" s="1466" t="s">
        <v>22</v>
      </c>
      <c r="AT8" s="751"/>
      <c r="AU8" s="1257"/>
      <c r="AV8" s="751"/>
      <c r="AW8" s="1257"/>
      <c r="AX8" s="1734"/>
      <c r="AY8" s="1459" t="s">
        <v>65</v>
      </c>
      <c r="AZ8" s="1734"/>
      <c r="BA8" s="1459" t="s">
        <v>65</v>
      </c>
      <c r="BB8" s="1348"/>
      <c r="BC8" s="2253" t="s">
        <v>503</v>
      </c>
      <c r="BE8" s="500"/>
      <c r="BF8" s="500" t="str">
        <f>IF(T8="","",T8)</f>
        <v/>
      </c>
      <c r="BG8" s="500"/>
      <c r="BH8" s="500"/>
      <c r="BI8" s="1155">
        <v>0</v>
      </c>
    </row>
    <row r="9" ht="11.25" hidden="1" customHeight="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504</v>
      </c>
      <c r="AT9" s="1393"/>
      <c r="AU9" s="1496"/>
      <c r="AV9" s="1393"/>
      <c r="AW9" s="1496"/>
      <c r="AX9" s="1393"/>
      <c r="AY9" s="1393"/>
      <c r="AZ9" s="1393"/>
      <c r="BA9" s="1393"/>
      <c r="BB9" s="1397"/>
      <c r="BC9" s="2254"/>
      <c r="BE9" s="500"/>
      <c r="BF9" s="500"/>
      <c r="BG9" s="500"/>
      <c r="BH9" s="500"/>
      <c r="BI9" s="1155">
        <v>0</v>
      </c>
    </row>
    <row r="10" ht="11.25" hidden="1" customHeight="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505</v>
      </c>
      <c r="AP10" s="416"/>
      <c r="AQ10" s="416"/>
      <c r="AR10" s="416"/>
      <c r="AS10" s="1393"/>
      <c r="AT10" s="1393"/>
      <c r="AU10" s="1496"/>
      <c r="AV10" s="1393"/>
      <c r="AW10" s="1496"/>
      <c r="AX10" s="1393"/>
      <c r="AY10" s="1393"/>
      <c r="AZ10" s="1393"/>
      <c r="BA10" s="1393"/>
      <c r="BB10" s="1397"/>
      <c r="BC10" s="2254"/>
      <c r="BE10" s="500"/>
      <c r="BF10" s="500"/>
      <c r="BG10" s="500"/>
      <c r="BH10" s="500"/>
      <c r="BI10" s="1155">
        <v>0</v>
      </c>
    </row>
    <row r="11" ht="11.25" hidden="1" customHeight="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506</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r="12" ht="11.25" hidden="1" customHeight="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507</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r="13" ht="11.25" hidden="1" customHeight="1">
      <c r="A13" s="1363"/>
      <c r="B13" s="1363"/>
      <c r="C13" s="1363"/>
      <c r="D13" s="1363"/>
      <c r="E13" s="2259"/>
      <c r="F13" s="2259"/>
      <c r="G13" s="2259"/>
      <c r="H13" s="2259"/>
      <c r="I13" s="2286"/>
      <c r="J13" s="2256"/>
      <c r="K13" s="1363"/>
      <c r="L13" s="1364"/>
      <c r="P13" s="2257"/>
      <c r="Q13" s="2257"/>
      <c r="R13" s="356"/>
      <c r="S13" s="1278"/>
      <c r="T13" s="287" t="s">
        <v>470</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 xml:space="preserve">Добавить строку</v>
      </c>
      <c r="BG13" s="500"/>
      <c r="BH13" s="500"/>
      <c r="BI13" s="1155">
        <v>0</v>
      </c>
    </row>
    <row r="14" s="1642" customFormat="1" ht="14.25" hidden="1" customHeight="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r="15" s="1642" customFormat="1" ht="14.25" hidden="1" customHeight="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r="16" s="1642" customFormat="1" ht="14.25" hidden="1" customHeight="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r="17" s="1642" customFormat="1" ht="14.25" hidden="1" customHeight="1">
      <c r="A17" s="1343"/>
      <c r="B17" s="1343"/>
      <c r="C17" s="1314"/>
      <c r="D17" s="1314"/>
      <c r="E17" s="2259"/>
      <c r="F17" s="2258"/>
      <c r="G17" s="1314"/>
      <c r="H17" s="1314"/>
      <c r="I17" s="1314"/>
      <c r="J17" s="1314"/>
      <c r="K17" s="1314"/>
      <c r="L17" s="1464"/>
      <c r="M17" s="1321"/>
      <c r="N17" s="1321"/>
      <c r="P17" s="1316"/>
      <c r="Q17" s="1317"/>
      <c r="R17" s="1316"/>
      <c r="S17" s="1322"/>
      <c r="T17" s="1325" t="s">
        <v>417</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 xml:space="preserve">Добавить централизованную систему для дифференциации</v>
      </c>
      <c r="BG17" s="789"/>
      <c r="BH17" s="789"/>
      <c r="BI17" s="518">
        <v>0</v>
      </c>
    </row>
    <row r="18" s="1642" customFormat="1" ht="14.25" hidden="1" customHeight="1">
      <c r="A18" s="1343"/>
      <c r="B18" s="1343"/>
      <c r="C18" s="1343"/>
      <c r="D18" s="1343"/>
      <c r="E18" s="2258"/>
      <c r="F18" s="1343"/>
      <c r="G18" s="1343"/>
      <c r="H18" s="1343"/>
      <c r="I18" s="1343"/>
      <c r="J18" s="1343"/>
      <c r="K18" s="1343"/>
      <c r="L18" s="1346"/>
      <c r="M18" s="1321"/>
      <c r="N18" s="1321"/>
      <c r="O18" s="518"/>
      <c r="P18" s="380"/>
      <c r="Q18" s="1344"/>
      <c r="R18" s="380"/>
      <c r="S18" s="1322"/>
      <c r="T18" s="1325" t="s">
        <v>418</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 xml:space="preserve">Добавить территорию для дифференциации</v>
      </c>
      <c r="BG18" s="500"/>
      <c r="BH18" s="500"/>
      <c r="BI18" s="511">
        <v>0</v>
      </c>
    </row>
    <row r="19" ht="14.25" hidden="1" customHeight="1">
      <c r="AC19" s="327"/>
      <c r="BA19" s="327"/>
      <c r="BI19" s="1155">
        <v>0</v>
      </c>
    </row>
    <row r="20" ht="14.25" hidden="1" customHeight="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65</v>
      </c>
      <c r="AZ20" s="1736"/>
      <c r="BA20" s="1460" t="s">
        <v>65</v>
      </c>
      <c r="BI20" s="1155">
        <v>0</v>
      </c>
    </row>
    <row r="21" ht="14.25" hidden="1" customHeight="1">
      <c r="BD21" s="496"/>
      <c r="BE21" s="496"/>
      <c r="BF21" s="496"/>
      <c r="BG21" s="496"/>
      <c r="BH21" s="496"/>
      <c r="BI21" s="1155">
        <v>0</v>
      </c>
    </row>
    <row r="22" ht="14.25" hidden="1" customHeight="1">
      <c r="O22" s="1367" t="s">
        <v>419</v>
      </c>
      <c r="Z22" s="1345"/>
      <c r="AB22" s="1345"/>
      <c r="AC22" s="327"/>
      <c r="AX22" s="1345"/>
      <c r="AZ22" s="1345"/>
      <c r="BA22" s="327"/>
      <c r="BD22" s="496"/>
      <c r="BE22" s="496"/>
      <c r="BF22" s="496"/>
      <c r="BG22" s="496"/>
      <c r="BH22" s="496"/>
      <c r="BI22" s="1155">
        <v>0</v>
      </c>
    </row>
    <row r="23" ht="14.25" hidden="1" customHeight="1">
      <c r="AC23" s="327"/>
      <c r="BA23" s="327"/>
      <c r="BD23" s="496"/>
      <c r="BE23" s="496"/>
      <c r="BF23" s="496"/>
      <c r="BG23" s="496"/>
      <c r="BH23" s="496"/>
      <c r="BI23" s="1155">
        <v>0</v>
      </c>
    </row>
    <row r="24" s="1509" customFormat="1" ht="14.25" hidden="1" customHeight="1">
      <c r="M24" s="1508"/>
      <c r="N24" s="1508"/>
      <c r="O24" s="1509" t="s">
        <v>420</v>
      </c>
      <c r="P24" s="1508"/>
      <c r="Q24" s="1510"/>
      <c r="R24" s="1510"/>
      <c r="AA24" s="1507" t="s">
        <v>422</v>
      </c>
      <c r="AC24" s="1507" t="s">
        <v>423</v>
      </c>
      <c r="AD24" s="1507" t="s">
        <v>471</v>
      </c>
      <c r="AH24" s="1507" t="s">
        <v>471</v>
      </c>
      <c r="AK24" s="1507" t="s">
        <v>508</v>
      </c>
      <c r="AL24" s="1507" t="s">
        <v>471</v>
      </c>
      <c r="AP24" s="1507" t="s">
        <v>471</v>
      </c>
      <c r="AY24" s="1507" t="s">
        <v>422</v>
      </c>
      <c r="BA24" s="1507" t="s">
        <v>423</v>
      </c>
      <c r="BD24" s="1511"/>
      <c r="BE24" s="1511"/>
      <c r="BF24" s="1511"/>
      <c r="BG24" s="1511"/>
      <c r="BH24" s="1511"/>
      <c r="BI24" s="1507">
        <v>0</v>
      </c>
    </row>
    <row r="25" ht="14.25" hidden="1" customHeight="1">
      <c r="O25" s="1364"/>
      <c r="BD25" s="496"/>
      <c r="BE25" s="496"/>
      <c r="BF25" s="496"/>
      <c r="BG25" s="496"/>
      <c r="BH25" s="496"/>
      <c r="BI25" s="1155">
        <v>0</v>
      </c>
    </row>
    <row r="26" ht="14.25" hidden="1" customHeight="1">
      <c r="O26" s="1364"/>
      <c r="BD26" s="496"/>
      <c r="BE26" s="496"/>
      <c r="BF26" s="496"/>
      <c r="BG26" s="496"/>
      <c r="BH26" s="496"/>
      <c r="BI26" s="1155">
        <v>0</v>
      </c>
    </row>
    <row r="27" ht="14.65" customHeight="1">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r="28" ht="14.65" customHeight="1">
      <c r="Q28" s="291"/>
      <c r="R28" s="376"/>
      <c r="S28" s="2248" t="str">
        <f>IF(TEMPLATE_GROUP="P",PT_P_FORM_COLDVSNA_5_NAME_FORM,PT_R_FORM_COLDVSNA_17_NAME_FORM)</f>
        <v xml:space="preserve">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r="29" ht="14.65" customHeight="1">
      <c r="Q29" s="291"/>
      <c r="R29" s="376"/>
      <c r="S29" s="2249" t="str">
        <f>IF(org=0,"Не определено",org)</f>
        <v xml:space="preserve">филиал ПАО "ОГК-2" - Рязанская ГРЭС</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r="30" ht="14.25" hidden="1" customHeight="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r="31" s="1853" customFormat="1" ht="25.5" hidden="1" customHeight="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r="32" s="1853" customFormat="1" ht="18.75" hidden="1" customHeight="1">
      <c r="A32" s="1368"/>
      <c r="B32" s="1368"/>
      <c r="C32" s="1368"/>
      <c r="D32" s="1368"/>
      <c r="E32" s="1368"/>
      <c r="F32" s="1368"/>
      <c r="G32" s="1368"/>
      <c r="H32" s="1368"/>
      <c r="I32" s="1368"/>
      <c r="J32" s="1368"/>
      <c r="K32" s="1368"/>
      <c r="L32" s="1369"/>
      <c r="M32" s="1368"/>
      <c r="N32" s="1368"/>
      <c r="O32" s="1368"/>
      <c r="P32" s="1368"/>
      <c r="Q32" s="1368"/>
      <c r="S32" s="2250" t="s">
        <v>425</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r="33" s="1853" customFormat="1" ht="18.75" hidden="1" customHeight="1">
      <c r="A33" s="1368"/>
      <c r="B33" s="1368"/>
      <c r="C33" s="1368"/>
      <c r="D33" s="1368"/>
      <c r="E33" s="1368"/>
      <c r="F33" s="1368"/>
      <c r="G33" s="1368"/>
      <c r="H33" s="1368"/>
      <c r="I33" s="1368"/>
      <c r="J33" s="1368"/>
      <c r="K33" s="1368"/>
      <c r="L33" s="1369"/>
      <c r="M33" s="1368"/>
      <c r="N33" s="1368"/>
      <c r="O33" s="1368"/>
      <c r="P33" s="1368"/>
      <c r="Q33" s="1368"/>
      <c r="S33" s="2250" t="s">
        <v>426</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r="34" s="1853" customFormat="1" ht="18.75" hidden="1" customHeight="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r="35" ht="14.25" hidden="1" customHeight="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r="36" s="1853" customFormat="1" ht="18.75" hidden="1" customHeight="1">
      <c r="A36" s="1368"/>
      <c r="B36" s="1368"/>
      <c r="C36" s="1368"/>
      <c r="D36" s="1368"/>
      <c r="E36" s="1368"/>
      <c r="F36" s="1368"/>
      <c r="G36" s="1368"/>
      <c r="H36" s="1368"/>
      <c r="I36" s="1368"/>
      <c r="J36" s="1368"/>
      <c r="K36" s="1368"/>
      <c r="L36" s="1369"/>
      <c r="M36" s="1368"/>
      <c r="N36" s="1368"/>
      <c r="O36" s="1368"/>
      <c r="P36" s="1368"/>
      <c r="Q36" s="1368"/>
      <c r="S36" s="2250" t="s">
        <v>425</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r="37" s="1853" customFormat="1" ht="18.75" hidden="1" customHeight="1">
      <c r="A37" s="1368"/>
      <c r="B37" s="1368"/>
      <c r="C37" s="1368"/>
      <c r="D37" s="1368"/>
      <c r="E37" s="1368"/>
      <c r="F37" s="1368"/>
      <c r="G37" s="1368"/>
      <c r="H37" s="1368"/>
      <c r="I37" s="1368"/>
      <c r="J37" s="1368"/>
      <c r="K37" s="1368"/>
      <c r="L37" s="1369"/>
      <c r="M37" s="1368"/>
      <c r="N37" s="1368"/>
      <c r="O37" s="1368"/>
      <c r="P37" s="1368"/>
      <c r="Q37" s="1368"/>
      <c r="S37" s="2250" t="s">
        <v>426</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r="38" s="1853" customFormat="1" ht="0" customHeight="1">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429</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429</v>
      </c>
      <c r="BD38" s="368"/>
      <c r="BE38" s="368"/>
      <c r="BF38" s="368"/>
      <c r="BG38" s="368"/>
      <c r="BH38" s="368"/>
      <c r="BI38" s="418">
        <v>0</v>
      </c>
    </row>
    <row r="39" ht="14.65" customHeight="1">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r="40" ht="14.65" customHeight="1">
      <c r="Q40" s="291"/>
      <c r="R40" s="376"/>
      <c r="S40" s="2127" t="s">
        <v>302</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303</v>
      </c>
      <c r="BI40" s="1155">
        <v>14</v>
      </c>
    </row>
    <row r="41" ht="14.65" customHeight="1">
      <c r="Q41" s="291"/>
      <c r="R41" s="376"/>
      <c r="S41" s="2273" t="s">
        <v>87</v>
      </c>
      <c r="T41" s="2209" t="s">
        <v>509</v>
      </c>
      <c r="U41" s="301"/>
      <c r="V41" s="2274" t="s">
        <v>431</v>
      </c>
      <c r="W41" s="2275"/>
      <c r="X41" s="2275"/>
      <c r="Y41" s="2275"/>
      <c r="Z41" s="2275"/>
      <c r="AA41" s="2275"/>
      <c r="AB41" s="2276"/>
      <c r="AC41" s="2277" t="s">
        <v>432</v>
      </c>
      <c r="AD41" s="2328" t="s">
        <v>510</v>
      </c>
      <c r="AE41" s="2291"/>
      <c r="AF41" s="2291"/>
      <c r="AG41" s="2329"/>
      <c r="AH41" s="2328" t="s">
        <v>511</v>
      </c>
      <c r="AI41" s="2291"/>
      <c r="AJ41" s="2291"/>
      <c r="AK41" s="2329"/>
      <c r="AL41" s="2328" t="s">
        <v>512</v>
      </c>
      <c r="AM41" s="2291"/>
      <c r="AN41" s="2291"/>
      <c r="AO41" s="2329"/>
      <c r="AP41" s="2328" t="s">
        <v>513</v>
      </c>
      <c r="AQ41" s="2291"/>
      <c r="AR41" s="2291"/>
      <c r="AS41" s="2329"/>
      <c r="AT41" s="2274" t="s">
        <v>431</v>
      </c>
      <c r="AU41" s="2275"/>
      <c r="AV41" s="2275"/>
      <c r="AW41" s="2275"/>
      <c r="AX41" s="2275"/>
      <c r="AY41" s="2275"/>
      <c r="AZ41" s="2276"/>
      <c r="BA41" s="2277" t="s">
        <v>432</v>
      </c>
      <c r="BB41" s="2280" t="s">
        <v>434</v>
      </c>
      <c r="BC41" s="2127"/>
      <c r="BI41" s="1155">
        <v>14</v>
      </c>
    </row>
    <row r="42" ht="35.649999999999999" customHeight="1">
      <c r="Q42" s="291"/>
      <c r="R42" s="376"/>
      <c r="S42" s="2273"/>
      <c r="T42" s="2209"/>
      <c r="U42" s="1031"/>
      <c r="V42" s="2192" t="s">
        <v>514</v>
      </c>
      <c r="W42" s="2193"/>
      <c r="X42" s="2192" t="s">
        <v>515</v>
      </c>
      <c r="Y42" s="2193"/>
      <c r="Z42" s="2294" t="s">
        <v>516</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514</v>
      </c>
      <c r="AU42" s="2193"/>
      <c r="AV42" s="2192" t="s">
        <v>515</v>
      </c>
      <c r="AW42" s="2193"/>
      <c r="AX42" s="2294" t="s">
        <v>516</v>
      </c>
      <c r="AY42" s="2313"/>
      <c r="AZ42" s="2314"/>
      <c r="BA42" s="2278"/>
      <c r="BB42" s="2281"/>
      <c r="BC42" s="2127"/>
      <c r="BI42" s="1155">
        <v>34</v>
      </c>
    </row>
    <row r="43" ht="14.65" customHeight="1">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r="44" ht="14.65" customHeight="1">
      <c r="A44" s="1370"/>
      <c r="B44" s="1370" t="s">
        <v>139</v>
      </c>
      <c r="C44" s="1370" t="s">
        <v>140</v>
      </c>
      <c r="D44" s="1370" t="s">
        <v>141</v>
      </c>
      <c r="E44" s="1364" t="s">
        <v>439</v>
      </c>
      <c r="F44" s="1364" t="s">
        <v>440</v>
      </c>
      <c r="G44" s="1364" t="s">
        <v>441</v>
      </c>
      <c r="H44" s="1364" t="s">
        <v>442</v>
      </c>
      <c r="I44" s="1364" t="s">
        <v>443</v>
      </c>
      <c r="J44" s="1364" t="s">
        <v>444</v>
      </c>
      <c r="K44" s="1364" t="s">
        <v>445</v>
      </c>
      <c r="L44" s="1364" t="s">
        <v>420</v>
      </c>
      <c r="Q44" s="291"/>
      <c r="R44" s="376"/>
      <c r="S44" s="2273"/>
      <c r="T44" s="2209"/>
      <c r="U44" s="302"/>
      <c r="V44" s="1448" t="s">
        <v>480</v>
      </c>
      <c r="W44" s="1448" t="s">
        <v>481</v>
      </c>
      <c r="X44" s="1448" t="s">
        <v>480</v>
      </c>
      <c r="Y44" s="1448" t="s">
        <v>481</v>
      </c>
      <c r="Z44" s="1455" t="s">
        <v>448</v>
      </c>
      <c r="AA44" s="2270" t="s">
        <v>449</v>
      </c>
      <c r="AB44" s="2271"/>
      <c r="AC44" s="2279"/>
      <c r="AD44" s="2333"/>
      <c r="AE44" s="2334"/>
      <c r="AF44" s="2334"/>
      <c r="AG44" s="2335"/>
      <c r="AH44" s="2333"/>
      <c r="AI44" s="2334"/>
      <c r="AJ44" s="2334"/>
      <c r="AK44" s="2335"/>
      <c r="AL44" s="2333"/>
      <c r="AM44" s="2334"/>
      <c r="AN44" s="2334"/>
      <c r="AO44" s="2335"/>
      <c r="AP44" s="2333"/>
      <c r="AQ44" s="2334"/>
      <c r="AR44" s="2334"/>
      <c r="AS44" s="2335"/>
      <c r="AT44" s="1448" t="s">
        <v>480</v>
      </c>
      <c r="AU44" s="1448" t="s">
        <v>481</v>
      </c>
      <c r="AV44" s="1448" t="s">
        <v>480</v>
      </c>
      <c r="AW44" s="1448" t="s">
        <v>481</v>
      </c>
      <c r="AX44" s="1455" t="s">
        <v>448</v>
      </c>
      <c r="AY44" s="2270" t="s">
        <v>449</v>
      </c>
      <c r="AZ44" s="2271"/>
      <c r="BA44" s="2279"/>
      <c r="BB44" s="2282"/>
      <c r="BC44" s="2127"/>
      <c r="BI44" s="1155">
        <v>14</v>
      </c>
    </row>
    <row r="45" s="1641" customFormat="1" ht="11.25" hidden="1" customHeight="1">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r="46" ht="22" customHeight="1">
      <c r="A46" s="1363" t="s">
        <v>248</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127</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 xml:space="preserve">Наименование тарифа</v>
      </c>
      <c r="BG46" s="500"/>
      <c r="BH46" s="500"/>
      <c r="BI46" s="1155">
        <v>21</v>
      </c>
    </row>
    <row r="47" ht="22" customHeight="1">
      <c r="A47" s="1363" t="s">
        <v>248</v>
      </c>
      <c r="B47" s="1363" t="s">
        <v>249</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399</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400</v>
      </c>
      <c r="BE47" s="500"/>
      <c r="BF47" s="500" t="str">
        <f>IF(T47="","",T47)</f>
        <v xml:space="preserve">Территория действия тарифа</v>
      </c>
      <c r="BG47" s="500"/>
      <c r="BH47" s="500"/>
      <c r="BI47" s="1155">
        <v>21</v>
      </c>
    </row>
    <row r="48" ht="43.049999999999997" customHeight="1">
      <c r="A48" s="1363" t="s">
        <v>248</v>
      </c>
      <c r="B48" s="1363" t="s">
        <v>249</v>
      </c>
      <c r="C48" s="1363" t="s">
        <v>250</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483</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484</v>
      </c>
      <c r="BE48" s="500"/>
      <c r="BF48" s="500" t="str">
        <f>IF(T48="","",T48)</f>
        <v xml:space="preserve">Наименование централизованной системы холодного водоснабжения</v>
      </c>
      <c r="BG48" s="500"/>
      <c r="BH48" s="500"/>
      <c r="BI48" s="1155">
        <v>41</v>
      </c>
    </row>
    <row r="49" s="1642" customFormat="1" ht="0" customHeight="1">
      <c r="A49" s="1343" t="s">
        <v>248</v>
      </c>
      <c r="B49" s="1343" t="s">
        <v>249</v>
      </c>
      <c r="C49" s="1343" t="s">
        <v>250</v>
      </c>
      <c r="D49" s="1343" t="s">
        <v>517</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404</v>
      </c>
      <c r="BE49" s="500"/>
      <c r="BF49" s="500" t="str">
        <f>IF(T49="","",T49)</f>
        <v/>
      </c>
      <c r="BG49" s="500"/>
      <c r="BH49" s="500"/>
      <c r="BI49" s="511">
        <v>0</v>
      </c>
    </row>
    <row r="50" s="1642" customFormat="1" ht="0" customHeight="1">
      <c r="A50" s="1343" t="s">
        <v>248</v>
      </c>
      <c r="B50" s="1343" t="s">
        <v>249</v>
      </c>
      <c r="C50" s="1343" t="s">
        <v>250</v>
      </c>
      <c r="D50" s="1343" t="s">
        <v>517</v>
      </c>
      <c r="E50" s="2259"/>
      <c r="F50" s="2259"/>
      <c r="G50" s="2259"/>
      <c r="H50" s="2259"/>
      <c r="I50" s="2256" t="str">
        <f>S49&amp;".1"</f>
        <v>.1</v>
      </c>
      <c r="J50" s="1343"/>
      <c r="K50" s="1343"/>
      <c r="L50" s="1346" t="s">
        <v>405</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r="51" s="1642" customFormat="1" ht="0" customHeight="1">
      <c r="A51" s="1343" t="s">
        <v>248</v>
      </c>
      <c r="B51" s="1343" t="s">
        <v>249</v>
      </c>
      <c r="C51" s="1343" t="s">
        <v>250</v>
      </c>
      <c r="D51" s="1343" t="s">
        <v>517</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r="52" ht="11.5" customHeight="1">
      <c r="A52" s="1363" t="s">
        <v>248</v>
      </c>
      <c r="B52" s="1363" t="s">
        <v>249</v>
      </c>
      <c r="C52" s="1363" t="s">
        <v>250</v>
      </c>
      <c r="D52" s="1363" t="s">
        <v>517</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65</v>
      </c>
      <c r="AB52" s="1734"/>
      <c r="AC52" s="145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63">
        <v>1</v>
      </c>
      <c r="AS52" s="1466" t="s">
        <v>22</v>
      </c>
      <c r="AT52" s="751"/>
      <c r="AU52" s="1257"/>
      <c r="AV52" s="751"/>
      <c r="AW52" s="1257"/>
      <c r="AX52" s="1734"/>
      <c r="AY52" s="1459" t="s">
        <v>65</v>
      </c>
      <c r="AZ52" s="1734"/>
      <c r="BA52" s="1459" t="s">
        <v>65</v>
      </c>
      <c r="BB52" s="1348"/>
      <c r="BC52" s="2253" t="s">
        <v>503</v>
      </c>
      <c r="BE52" s="500"/>
      <c r="BF52" s="500" t="str">
        <f>IF(T52="","",T52)</f>
        <v/>
      </c>
      <c r="BG52" s="500"/>
      <c r="BH52" s="500"/>
      <c r="BI52" s="1155">
        <v>11</v>
      </c>
    </row>
    <row r="53" ht="11.5" customHeight="1">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504</v>
      </c>
      <c r="AT53" s="1393"/>
      <c r="AU53" s="1496"/>
      <c r="AV53" s="1393"/>
      <c r="AW53" s="1496"/>
      <c r="AX53" s="1393"/>
      <c r="AY53" s="1393"/>
      <c r="AZ53" s="1393"/>
      <c r="BA53" s="1393"/>
      <c r="BB53" s="1397"/>
      <c r="BC53" s="2254"/>
      <c r="BE53" s="500"/>
      <c r="BF53" s="500"/>
      <c r="BG53" s="500"/>
      <c r="BH53" s="500"/>
      <c r="BI53" s="1155">
        <v>11</v>
      </c>
    </row>
    <row r="54" ht="11.5" customHeight="1">
      <c r="A54" s="1363" t="s">
        <v>248</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505</v>
      </c>
      <c r="AP54" s="416"/>
      <c r="AQ54" s="416"/>
      <c r="AR54" s="416"/>
      <c r="AS54" s="1393"/>
      <c r="AT54" s="1393"/>
      <c r="AU54" s="1496"/>
      <c r="AV54" s="1393"/>
      <c r="AW54" s="1496"/>
      <c r="AX54" s="1393"/>
      <c r="AY54" s="1393"/>
      <c r="AZ54" s="1393"/>
      <c r="BA54" s="1393"/>
      <c r="BB54" s="1397"/>
      <c r="BC54" s="2254"/>
      <c r="BE54" s="500"/>
      <c r="BF54" s="500"/>
      <c r="BG54" s="500"/>
      <c r="BH54" s="500"/>
      <c r="BI54" s="1155">
        <v>11</v>
      </c>
    </row>
    <row r="55" ht="11.5" customHeight="1">
      <c r="A55" s="1363" t="s">
        <v>248</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506</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r="56" ht="11.5" customHeight="1">
      <c r="A56" s="1363" t="s">
        <v>248</v>
      </c>
      <c r="B56" s="1363" t="s">
        <v>249</v>
      </c>
      <c r="C56" s="1363" t="s">
        <v>250</v>
      </c>
      <c r="D56" s="1363" t="s">
        <v>517</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507</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r="57" ht="11.5" customHeight="1">
      <c r="A57" s="1363" t="s">
        <v>248</v>
      </c>
      <c r="B57" s="1363" t="s">
        <v>249</v>
      </c>
      <c r="C57" s="1363" t="s">
        <v>250</v>
      </c>
      <c r="D57" s="1363" t="s">
        <v>517</v>
      </c>
      <c r="E57" s="2259"/>
      <c r="F57" s="2259"/>
      <c r="G57" s="2259"/>
      <c r="H57" s="2259"/>
      <c r="I57" s="2286"/>
      <c r="J57" s="2256"/>
      <c r="K57" s="1363"/>
      <c r="L57" s="1364"/>
      <c r="P57" s="2257"/>
      <c r="Q57" s="2257"/>
      <c r="R57" s="356"/>
      <c r="S57" s="1278"/>
      <c r="T57" s="287" t="s">
        <v>470</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 xml:space="preserve">Добавить строку</v>
      </c>
      <c r="BG57" s="500"/>
      <c r="BH57" s="500"/>
      <c r="BI57" s="1155">
        <v>11</v>
      </c>
    </row>
    <row r="58" s="1642" customFormat="1" ht="0" customHeight="1">
      <c r="A58" s="1343" t="s">
        <v>248</v>
      </c>
      <c r="B58" s="1343" t="s">
        <v>249</v>
      </c>
      <c r="C58" s="1343" t="s">
        <v>250</v>
      </c>
      <c r="D58" s="1343" t="s">
        <v>517</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r="59" s="1642" customFormat="1" ht="0" customHeight="1">
      <c r="A59" s="1343" t="s">
        <v>248</v>
      </c>
      <c r="B59" s="1343" t="s">
        <v>249</v>
      </c>
      <c r="C59" s="1343" t="s">
        <v>250</v>
      </c>
      <c r="D59" s="1343" t="s">
        <v>517</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r="60" s="1642" customFormat="1" ht="0" customHeight="1">
      <c r="A60" s="1343" t="s">
        <v>248</v>
      </c>
      <c r="B60" s="1343" t="s">
        <v>249</v>
      </c>
      <c r="C60" s="1343" t="s">
        <v>250</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r="61" s="1642" customFormat="1" ht="0" customHeight="1">
      <c r="A61" s="1343" t="s">
        <v>248</v>
      </c>
      <c r="B61" s="1343" t="s">
        <v>249</v>
      </c>
      <c r="C61" s="1314"/>
      <c r="D61" s="1314"/>
      <c r="E61" s="2259"/>
      <c r="F61" s="2258"/>
      <c r="G61" s="1314"/>
      <c r="H61" s="1314"/>
      <c r="I61" s="1314"/>
      <c r="J61" s="1314"/>
      <c r="K61" s="1314"/>
      <c r="L61" s="1464"/>
      <c r="M61" s="1321"/>
      <c r="N61" s="1321"/>
      <c r="P61" s="1316"/>
      <c r="Q61" s="1317"/>
      <c r="R61" s="1316"/>
      <c r="S61" s="1322"/>
      <c r="T61" s="1325" t="s">
        <v>417</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 xml:space="preserve">Добавить централизованную систему для дифференциации</v>
      </c>
      <c r="BG61" s="789"/>
      <c r="BH61" s="789"/>
      <c r="BI61" s="518">
        <v>0</v>
      </c>
    </row>
    <row r="62" s="1642" customFormat="1" ht="0" customHeight="1">
      <c r="A62" s="1343" t="s">
        <v>248</v>
      </c>
      <c r="B62" s="1343"/>
      <c r="C62" s="1343"/>
      <c r="D62" s="1343"/>
      <c r="E62" s="2258"/>
      <c r="F62" s="1343"/>
      <c r="G62" s="1343"/>
      <c r="H62" s="1343"/>
      <c r="I62" s="1343"/>
      <c r="J62" s="1343"/>
      <c r="K62" s="1343"/>
      <c r="L62" s="1346"/>
      <c r="M62" s="1321"/>
      <c r="N62" s="1321"/>
      <c r="O62" s="518"/>
      <c r="P62" s="380"/>
      <c r="Q62" s="1344"/>
      <c r="R62" s="380"/>
      <c r="S62" s="1322"/>
      <c r="T62" s="1325" t="s">
        <v>418</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 xml:space="preserve">Добавить территорию для дифференциации</v>
      </c>
      <c r="BG62" s="500"/>
      <c r="BH62" s="500"/>
      <c r="BI62" s="511">
        <v>0</v>
      </c>
    </row>
    <row r="63" s="1642" customFormat="1" ht="0" customHeight="1">
      <c r="A63" s="1314"/>
      <c r="B63" s="1314"/>
      <c r="C63" s="1314"/>
      <c r="D63" s="1314"/>
      <c r="E63" s="1343"/>
      <c r="F63" s="1314"/>
      <c r="G63" s="1314"/>
      <c r="H63" s="1314"/>
      <c r="I63" s="1314"/>
      <c r="J63" s="1314"/>
      <c r="K63" s="1314"/>
      <c r="L63" s="1464"/>
      <c r="M63" s="1321"/>
      <c r="N63" s="1321"/>
      <c r="P63" s="1316"/>
      <c r="Q63" s="1317"/>
      <c r="R63" s="1316"/>
      <c r="S63" s="1322"/>
      <c r="T63" s="1325" t="s">
        <v>450</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 xml:space="preserve">Добавить наименование тарифа</v>
      </c>
      <c r="BG63" s="789"/>
      <c r="BH63" s="789"/>
      <c r="BI63" s="518">
        <v>0</v>
      </c>
    </row>
    <row r="64" ht="11.5" customHeight="1">
      <c r="M64" s="1160"/>
      <c r="N64" s="1160"/>
      <c r="O64" s="537"/>
      <c r="P64" s="1160"/>
      <c r="Q64" s="1160"/>
      <c r="R64" s="1155"/>
      <c r="S64" s="1155"/>
      <c r="BD64" s="1155"/>
      <c r="BE64" s="1155"/>
      <c r="BF64" s="1155"/>
      <c r="BG64" s="1155"/>
      <c r="BH64" s="1155"/>
      <c r="BI64" s="1155">
        <v>11</v>
      </c>
    </row>
    <row r="65" ht="19.949999999999999" customHeight="1">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r="66" ht="14.65" customHeight="1">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r="67" ht="19.949999999999999" customHeight="1">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r="68" ht="14.65" customHeight="1">
      <c r="O68" s="537"/>
      <c r="BI68" s="1155">
        <v>14</v>
      </c>
    </row>
    <row r="69" ht="14.25" hidden="1" customHeight="1">
      <c r="A69" s="1160" t="s">
        <v>81</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autoFilter="0" deleteColumns="0" deleteRows="0" formatColumns="0" formatRows="0" insertColumns="1" insertRows="0" sort="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4">
    <dataValidation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allowBlank="1" prompt="Выберите дату из календаря (иконка справа от указанной ячейки), либо введите дату непосредственно в ячейку в формате - 'ДД.ММ.ГГГГ'." showErrorMessage="1" showInputMessage="1"/>
    <dataValidation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allowBlank="1" promptTitle="checkPeriodRange"/>
    <dataValidation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allowBlank="1" prompt="Для выбора выполните двойной щелчок левой клавиши мыши по соответствующей ячейке." showErrorMessage="1" showInputMessage="1"/>
    <dataValidation sqref="S65591:BC65597 S983095:BC983101 S917559:BC917565 S852023:BC852029 S786487:BC786493 S720951:BC720957 S655415:BC655421 S589879:BC589885 S524343:BC524349 S458807:BC458813 S393271:BC393277 S327735:BC327741 S262199:BC262205 S196663:BC196669 S131127:BC131133" allowBlank="1"/>
  </dataValidations>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5">
        <x14:dataValidation xr:uid="{00CB006A-0013-4D73-A9CB-001F0026005A}" type="list" allowBlank="1" error="Выберите значение из списка" errorTitle="Ошибка" showErrorMessage="1" showInputMessage="1">
          <x14:formula1>
            <xm:f>kind_of_heat_transfer</xm:f>
          </x14:formula1>
          <xm:sqref>T65589 T131125 T196661 T262197 T327733 T393269 T458805 T524341 T589877 T655413 T720949 T786485 T852021 T917557 T983093</xm:sqref>
        </x14:dataValidation>
        <x14:dataValidation xr:uid="{00C7006A-000C-4E82-9D4D-00D6000F00FB}" type="list" allowBlank="1" error="Выберите значение из списка" errorTitle="Ошибка" showErrorMessage="1" showInputMessage="1">
          <x14:formula1>
            <xm:f>kind_of_scheme_in</xm:f>
          </x14:formula1>
          <xm:sqref>AD917555:AS917555 AD983091:AS983091 AD65587:AS65587 AD131123:AS131123 AD196659:AS196659 AD262195:AS262195 AD327731:AS327731 AD393267:AS393267 AD458803:AS458803 AD524339:AS524339 AD589875:AS589875 AD655411:AS655411 AD720947:AS720947 AD786483:AS786483 AD852019:AS852019</xm:sqref>
        </x14:dataValidation>
        <x14:dataValidation xr:uid="{00CC0007-007D-4510-B1BC-002400150088}" type="textLength" allowBlank="1" error="Допускается ввод не более 900 символов!" errorTitle="Ошибка" operator="lessThanOrEqual" showErrorMessage="1" showInputMessage="1">
          <x14:formula1>
            <xm:f>900</xm:f>
          </x14:formula1>
          <xm:sqref>BC65583:BC65590 BC131119:BC131126 BC196655:BC196662 BC262191:BC262198 BC327727:BC327734 BC393263:BC393270 BC458799:BC458806 BC524335:BC524342 BC589871:BC589878 BC655407:BC655414 BC720943:BC720950 BC786479:BC786486 BC852015:BC852022 BC917551:BC917558 BC983087:BC983094 AS8 T8:T12 AS52 T52:T56</xm:sqref>
        </x14:dataValidation>
        <x14:dataValidation xr:uid="{00870021-0036-492D-A6BF-005A00C4000F}" type="decimal" allowBlank="1" error="Допускается ввод только действительных чисел!" errorTitle="Ошибка" showErrorMessage="1">
          <x14:formula1>
            <xm:f>-9.99999999999999E+23</xm:f>
          </x14:formula1>
          <x14:formula2>
            <xm:f>9.99999999999999E+23</xm:f>
          </x14:formula2>
          <xm:sqref>AO52:AO53 AG8:AG11 AO8:AO9 AG52:AG55</xm:sqref>
        </x14:dataValidation>
        <x14:dataValidation xr:uid="{004E009B-00CC-4653-ABF9-00620040005C}" type="list" allowBlank="1" error="Выберите значение из списка" errorTitle="Ошибка" prompt="Выберите значение из списка" showInputMessage="1">
          <x14:formula1>
            <xm:f>kind_of_cons</xm:f>
          </x14:formula1>
          <xm:sqref>V983092:BB983092 V917556:BB917556 V852020:BB852020 V786484:BB786484 V720948:BB720948 V655412:BB655412 V589876:BB589876 V524340:BB524340 V458804:BB458804 V393268:BB393268 V327732:BB327732 V262196:BB262196 V196660:BB196660 V131124:BB131124 V65588:BB65588</xm:sqref>
        </x14:dataValidation>
      </x14:dataValidations>
    </ext>
  </extLs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sheetPr>
  <sheetViews>
    <sheetView showGridLines="0" topLeftCell="A1" zoomScale="90" workbookViewId="0">
      <selection activeCell="A1" sqref="A1"/>
    </sheetView>
  </sheetViews>
  <sheetFormatPr defaultColWidth="10.57421875" defaultRowHeight="14.25" customHeight="1"/>
  <cols>
    <col hidden="1" min="1" max="1" style="1366" width="10.57421875"/>
    <col customWidth="1" hidden="1" min="2" max="2" style="1366" width="11.00390625"/>
    <col hidden="1" min="3" max="3" style="1366" width="10.57421875"/>
    <col customWidth="1" hidden="1" min="4" max="4" style="1366" width="11.8515625"/>
    <col customWidth="1" hidden="1" min="5" max="5" style="1366" width="10.00390625"/>
    <col customWidth="1" hidden="1" min="6" max="6" style="1366" width="8.7109375"/>
    <col customWidth="1" hidden="1" min="7" max="7" style="1366" width="7.57421875"/>
    <col customWidth="1" hidden="1" min="8" max="8" style="1366" width="11.421875"/>
    <col customWidth="1" hidden="1" min="9" max="9" style="1366" width="14.140625"/>
    <col customWidth="1" hidden="1" min="10" max="10" style="1366" width="9.8515625"/>
    <col customWidth="1" hidden="1" min="11" max="11" style="1366" width="14.7109375"/>
    <col customWidth="1" hidden="1" min="12" max="12" style="2607" width="19.140625"/>
    <col customWidth="1" hidden="1" min="13" max="14" style="1776" width="12.28125"/>
    <col customWidth="1" hidden="1" min="15" max="15" style="1776" width="23.421875"/>
    <col customWidth="1" min="16" max="16" style="2397" width="3.00390625"/>
    <col customWidth="1" min="17" max="18" style="344" width="3.00390625"/>
    <col customWidth="1" min="19" max="19" style="2407" width="12.00390625"/>
    <col customWidth="1" min="20" max="20" style="1635" width="35.00390625"/>
    <col customWidth="1" min="21" max="21" style="1635" width="0.140625"/>
    <col customWidth="1" hidden="1" min="22" max="24" style="1635" width="24.7109375"/>
    <col customWidth="1" hidden="1" min="25" max="25" style="1635" width="11.7109375"/>
    <col customWidth="1" hidden="1" min="26" max="26" style="1635" width="3.7109375"/>
    <col customWidth="1" hidden="1" min="27" max="27" style="1635" width="11.7109375"/>
    <col customWidth="1" hidden="1" min="28" max="28" style="1635" width="8.57421875"/>
    <col customWidth="1" min="29" max="29" style="1635" width="24.7109375"/>
    <col customWidth="1" min="30" max="31" style="1635" width="24.00390625"/>
    <col customWidth="1" min="32" max="32" style="1635" width="11.00390625"/>
    <col customWidth="1" min="33" max="33" style="1635" width="3.7109375"/>
    <col customWidth="1" min="34" max="34" style="1635" width="11.00390625"/>
    <col customWidth="1" hidden="1" min="35" max="35" style="1635" width="8.57421875"/>
    <col customWidth="1" min="36" max="36" style="1635" width="4.00390625"/>
    <col customWidth="1" min="37" max="37" style="1635" width="115.00390625"/>
    <col customWidth="1" min="38" max="42" style="1642" width="10.00390625"/>
    <col hidden="1" min="43" max="43" style="1635" width="10.57421875"/>
  </cols>
  <sheetData>
    <row r="1" ht="22.5" hidden="1" customHeight="1">
      <c r="X1" s="327"/>
      <c r="Y1" s="327"/>
      <c r="AE1" s="327"/>
      <c r="AF1" s="327"/>
      <c r="AQ1" s="1155" t="s">
        <v>14</v>
      </c>
    </row>
    <row r="2" ht="23.25" hidden="1" customHeight="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127</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 xml:space="preserve">Наименование тарифа</v>
      </c>
      <c r="AO2" s="500"/>
      <c r="AP2" s="500"/>
      <c r="AQ2" s="1155">
        <v>0</v>
      </c>
    </row>
    <row r="3" ht="23.25" hidden="1" customHeight="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399</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400</v>
      </c>
      <c r="AM3" s="500"/>
      <c r="AN3" s="500" t="str">
        <f>IF(T3="","",T3)</f>
        <v xml:space="preserve">Территория действия тарифа</v>
      </c>
      <c r="AO3" s="500"/>
      <c r="AP3" s="500"/>
      <c r="AQ3" s="1155">
        <v>0</v>
      </c>
    </row>
    <row r="4" ht="23.25" hidden="1" customHeight="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518</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519</v>
      </c>
      <c r="AM4" s="500"/>
      <c r="AN4" s="500" t="str">
        <f>IF(T4="","",T4)</f>
        <v xml:space="preserve">Наименование централизованной системы водоотведения</v>
      </c>
      <c r="AO4" s="500"/>
      <c r="AP4" s="500"/>
      <c r="AQ4" s="1155">
        <v>0</v>
      </c>
    </row>
    <row r="5" ht="23.25" hidden="1" customHeight="1">
      <c r="A5" s="1363"/>
      <c r="B5" s="1363"/>
      <c r="C5" s="1363"/>
      <c r="D5" s="1363"/>
      <c r="E5" s="2259"/>
      <c r="F5" s="2259"/>
      <c r="G5" s="2259"/>
      <c r="H5" s="2259"/>
      <c r="I5" s="2256">
        <f>S4&amp;".1"</f>
      </c>
      <c r="J5" s="1363"/>
      <c r="K5" s="1363"/>
      <c r="L5" s="1364"/>
      <c r="P5" s="2257">
        <v>1</v>
      </c>
      <c r="Q5" s="1481"/>
      <c r="R5" s="356"/>
      <c r="S5" s="1493">
        <f>$I5</f>
      </c>
      <c r="T5" s="285" t="s">
        <v>485</v>
      </c>
      <c r="U5" s="300"/>
      <c r="V5" s="2350"/>
      <c r="W5" s="2351"/>
      <c r="X5" s="2351"/>
      <c r="Y5" s="2351"/>
      <c r="Z5" s="2351"/>
      <c r="AA5" s="2351"/>
      <c r="AB5" s="2352"/>
      <c r="AC5" s="2353"/>
      <c r="AD5" s="2354"/>
      <c r="AE5" s="2354"/>
      <c r="AF5" s="2354"/>
      <c r="AG5" s="2354"/>
      <c r="AH5" s="2354"/>
      <c r="AI5" s="2354"/>
      <c r="AJ5" s="2355"/>
      <c r="AK5" s="1258" t="s">
        <v>486</v>
      </c>
      <c r="AM5" s="500"/>
      <c r="AN5" s="500" t="str">
        <f>IF(T5="","",T5)</f>
        <v xml:space="preserve">Наименование признака дифференциации</v>
      </c>
      <c r="AO5" s="500"/>
      <c r="AP5" s="500"/>
      <c r="AQ5" s="1155">
        <v>0</v>
      </c>
    </row>
    <row r="6" ht="23.25" hidden="1" customHeight="1">
      <c r="A6" s="1363"/>
      <c r="B6" s="1363"/>
      <c r="C6" s="1363"/>
      <c r="D6" s="1363"/>
      <c r="E6" s="2259"/>
      <c r="F6" s="2259"/>
      <c r="G6" s="2259"/>
      <c r="H6" s="2259"/>
      <c r="I6" s="2286"/>
      <c r="J6" s="2256">
        <f>I5&amp;".1"</f>
      </c>
      <c r="K6" s="1363"/>
      <c r="L6" s="1364" t="s">
        <v>408</v>
      </c>
      <c r="P6" s="2257"/>
      <c r="Q6" s="2257">
        <v>1</v>
      </c>
      <c r="R6" s="357"/>
      <c r="S6" s="1493">
        <f>$J6</f>
      </c>
      <c r="T6" s="286" t="s">
        <v>409</v>
      </c>
      <c r="U6" s="300"/>
      <c r="V6" s="2245"/>
      <c r="W6" s="2246"/>
      <c r="X6" s="2246"/>
      <c r="Y6" s="2246"/>
      <c r="Z6" s="2246"/>
      <c r="AA6" s="2246"/>
      <c r="AB6" s="2247"/>
      <c r="AC6" s="2245"/>
      <c r="AD6" s="2246"/>
      <c r="AE6" s="2246"/>
      <c r="AF6" s="2246"/>
      <c r="AG6" s="2246"/>
      <c r="AH6" s="2246"/>
      <c r="AI6" s="2246"/>
      <c r="AJ6" s="2247"/>
      <c r="AK6" s="1307" t="s">
        <v>487</v>
      </c>
      <c r="AM6" s="500"/>
      <c r="AN6" s="500" t="str">
        <f>IF(T6="","",T6)</f>
        <v xml:space="preserve">Группа потребителей</v>
      </c>
      <c r="AO6" s="500"/>
      <c r="AP6" s="500"/>
      <c r="AQ6" s="1155">
        <v>0</v>
      </c>
    </row>
    <row r="7" ht="23.25" hidden="1" customHeight="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r="8" ht="14.25" hidden="1" customHeight="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r="9" ht="21" hidden="1" customHeight="1">
      <c r="A9" s="1363"/>
      <c r="B9" s="1363"/>
      <c r="C9" s="1363"/>
      <c r="D9" s="1363"/>
      <c r="E9" s="2259"/>
      <c r="F9" s="2259"/>
      <c r="G9" s="2259"/>
      <c r="H9" s="2259"/>
      <c r="I9" s="2286"/>
      <c r="J9" s="2256"/>
      <c r="K9" s="1363"/>
      <c r="L9" s="1364"/>
      <c r="P9" s="2257"/>
      <c r="Q9" s="2257"/>
      <c r="R9" s="356"/>
      <c r="S9" s="1278"/>
      <c r="T9" s="287" t="s">
        <v>488</v>
      </c>
      <c r="U9" s="367"/>
      <c r="V9" s="367"/>
      <c r="W9" s="367"/>
      <c r="X9" s="367"/>
      <c r="Y9" s="367"/>
      <c r="Z9" s="367"/>
      <c r="AA9" s="367"/>
      <c r="AB9" s="367"/>
      <c r="AC9" s="367"/>
      <c r="AD9" s="367"/>
      <c r="AE9" s="367"/>
      <c r="AF9" s="367"/>
      <c r="AG9" s="367"/>
      <c r="AH9" s="367"/>
      <c r="AI9" s="367"/>
      <c r="AJ9" s="367"/>
      <c r="AK9" s="1258" t="s">
        <v>489</v>
      </c>
      <c r="AM9" s="500"/>
      <c r="AN9" s="500" t="str">
        <f>IF(T9="","",T9)</f>
        <v xml:space="preserve">Добавить значение признака дифференциации</v>
      </c>
      <c r="AO9" s="500"/>
      <c r="AP9" s="500"/>
      <c r="AQ9" s="1155">
        <v>0</v>
      </c>
    </row>
    <row r="10" ht="21" hidden="1" customHeight="1">
      <c r="A10" s="1363"/>
      <c r="B10" s="1363"/>
      <c r="C10" s="1363"/>
      <c r="D10" s="1363"/>
      <c r="E10" s="2259"/>
      <c r="F10" s="2259"/>
      <c r="G10" s="2259"/>
      <c r="H10" s="2259"/>
      <c r="I10" s="2256"/>
      <c r="J10" s="1363"/>
      <c r="K10" s="1363"/>
      <c r="L10" s="1364"/>
      <c r="P10" s="2257"/>
      <c r="Q10" s="1481"/>
      <c r="R10" s="356"/>
      <c r="S10" s="1278"/>
      <c r="T10" s="365" t="s">
        <v>414</v>
      </c>
      <c r="U10" s="367"/>
      <c r="V10" s="367"/>
      <c r="W10" s="367"/>
      <c r="X10" s="367"/>
      <c r="Y10" s="367"/>
      <c r="Z10" s="367"/>
      <c r="AA10" s="367"/>
      <c r="AB10" s="366"/>
      <c r="AC10" s="367"/>
      <c r="AD10" s="367"/>
      <c r="AE10" s="367"/>
      <c r="AF10" s="367"/>
      <c r="AG10" s="367"/>
      <c r="AH10" s="367"/>
      <c r="AI10" s="366"/>
      <c r="AJ10" s="367"/>
      <c r="AK10" s="1440"/>
      <c r="AM10" s="500"/>
      <c r="AN10" s="500" t="str">
        <f>IF(T10="","",T10)</f>
        <v xml:space="preserve">Добавить группу потребителей</v>
      </c>
      <c r="AO10" s="500"/>
      <c r="AP10" s="500"/>
      <c r="AQ10" s="1155">
        <v>0</v>
      </c>
    </row>
    <row r="11" ht="21" hidden="1" customHeight="1">
      <c r="A11" s="1363"/>
      <c r="B11" s="1363"/>
      <c r="C11" s="1363"/>
      <c r="D11" s="1363"/>
      <c r="E11" s="2259"/>
      <c r="F11" s="2259"/>
      <c r="G11" s="2259"/>
      <c r="H11" s="2258"/>
      <c r="I11" s="1363"/>
      <c r="J11" s="1363"/>
      <c r="K11" s="1363"/>
      <c r="L11" s="1364"/>
      <c r="M11" s="1365"/>
      <c r="N11" s="1365"/>
      <c r="O11" s="537"/>
      <c r="P11" s="360"/>
      <c r="Q11" s="375"/>
      <c r="R11" s="355"/>
      <c r="S11" s="1278"/>
      <c r="T11" s="372" t="s">
        <v>490</v>
      </c>
      <c r="U11" s="367"/>
      <c r="V11" s="367"/>
      <c r="W11" s="367"/>
      <c r="X11" s="367"/>
      <c r="Y11" s="367"/>
      <c r="Z11" s="367"/>
      <c r="AA11" s="367"/>
      <c r="AB11" s="366"/>
      <c r="AC11" s="367"/>
      <c r="AD11" s="367"/>
      <c r="AE11" s="367"/>
      <c r="AF11" s="367"/>
      <c r="AG11" s="367"/>
      <c r="AH11" s="367"/>
      <c r="AI11" s="366"/>
      <c r="AJ11" s="367"/>
      <c r="AK11" s="303"/>
      <c r="AM11" s="500"/>
      <c r="AN11" s="500" t="str">
        <f>IF(T11="","",T11)</f>
        <v xml:space="preserve">Добавить наименование признака дифференциации</v>
      </c>
      <c r="AO11" s="500"/>
      <c r="AP11" s="500"/>
      <c r="AQ11" s="1155">
        <v>0</v>
      </c>
    </row>
    <row r="12" s="1642" customFormat="1" ht="14.25" hidden="1" customHeight="1">
      <c r="A12" s="1343"/>
      <c r="B12" s="1343"/>
      <c r="C12" s="1314"/>
      <c r="D12" s="1314"/>
      <c r="E12" s="2259"/>
      <c r="F12" s="2258"/>
      <c r="G12" s="1314"/>
      <c r="H12" s="1314"/>
      <c r="I12" s="1314"/>
      <c r="J12" s="1314"/>
      <c r="K12" s="1314"/>
      <c r="L12" s="1494"/>
      <c r="M12" s="1321"/>
      <c r="N12" s="1321"/>
      <c r="P12" s="1316"/>
      <c r="Q12" s="1317"/>
      <c r="R12" s="1316"/>
      <c r="S12" s="1322"/>
      <c r="T12" s="1325" t="s">
        <v>417</v>
      </c>
      <c r="U12" s="1324"/>
      <c r="V12" s="1324"/>
      <c r="W12" s="1324"/>
      <c r="X12" s="1324"/>
      <c r="Y12" s="1324"/>
      <c r="Z12" s="1324"/>
      <c r="AA12" s="1324"/>
      <c r="AB12" s="1324"/>
      <c r="AC12" s="1324"/>
      <c r="AD12" s="1324"/>
      <c r="AE12" s="1324"/>
      <c r="AF12" s="1324"/>
      <c r="AG12" s="1324"/>
      <c r="AH12" s="1324"/>
      <c r="AI12" s="1324"/>
      <c r="AJ12" s="1324"/>
      <c r="AK12" s="1324"/>
      <c r="AM12" s="789"/>
      <c r="AN12" s="789" t="str">
        <f>IF(T12="","",T12)</f>
        <v xml:space="preserve">Добавить централизованную систему для дифференциации</v>
      </c>
      <c r="AO12" s="789"/>
      <c r="AP12" s="789"/>
      <c r="AQ12" s="518">
        <v>0</v>
      </c>
    </row>
    <row r="13" s="1642" customFormat="1" ht="14.25" hidden="1" customHeight="1">
      <c r="A13" s="1343"/>
      <c r="B13" s="1343"/>
      <c r="C13" s="1343"/>
      <c r="D13" s="1343"/>
      <c r="E13" s="2258"/>
      <c r="F13" s="1343"/>
      <c r="G13" s="1343"/>
      <c r="H13" s="1343"/>
      <c r="I13" s="1343"/>
      <c r="J13" s="1343"/>
      <c r="K13" s="1343"/>
      <c r="L13" s="1346"/>
      <c r="M13" s="1321"/>
      <c r="N13" s="1321"/>
      <c r="O13" s="518"/>
      <c r="P13" s="380"/>
      <c r="Q13" s="1344"/>
      <c r="R13" s="380"/>
      <c r="S13" s="1322"/>
      <c r="T13" s="1325" t="s">
        <v>418</v>
      </c>
      <c r="U13" s="1324"/>
      <c r="V13" s="1324"/>
      <c r="W13" s="1324"/>
      <c r="X13" s="1324"/>
      <c r="Y13" s="1324"/>
      <c r="Z13" s="1324"/>
      <c r="AA13" s="1324"/>
      <c r="AB13" s="1324"/>
      <c r="AC13" s="1324"/>
      <c r="AD13" s="1324"/>
      <c r="AE13" s="1324"/>
      <c r="AF13" s="1324"/>
      <c r="AG13" s="1324"/>
      <c r="AH13" s="1324"/>
      <c r="AI13" s="1324"/>
      <c r="AJ13" s="1324"/>
      <c r="AK13" s="1324"/>
      <c r="AM13" s="500"/>
      <c r="AN13" s="500" t="str">
        <f>IF(T13="","",T13)</f>
        <v xml:space="preserve">Добавить территорию для дифференциации</v>
      </c>
      <c r="AO13" s="500"/>
      <c r="AP13" s="500"/>
      <c r="AQ13" s="511">
        <v>0</v>
      </c>
    </row>
    <row r="14" ht="14.25" hidden="1" customHeight="1">
      <c r="AB14" s="327"/>
      <c r="AI14" s="327"/>
      <c r="AQ14" s="1155">
        <v>0</v>
      </c>
    </row>
    <row r="15" ht="14.25" hidden="1" customHeight="1">
      <c r="AC15" s="1360"/>
      <c r="AD15" s="1360"/>
      <c r="AE15" s="1361"/>
      <c r="AF15" s="2267"/>
      <c r="AG15" s="2268" t="s">
        <v>65</v>
      </c>
      <c r="AH15" s="2267"/>
      <c r="AI15" s="2268" t="s">
        <v>65</v>
      </c>
      <c r="AQ15" s="1155">
        <v>0</v>
      </c>
    </row>
    <row r="16" ht="14.25" hidden="1" customHeight="1">
      <c r="AC16" s="1360"/>
      <c r="AD16" s="1360"/>
      <c r="AE16" s="328" t="str">
        <f>AF15&amp;"-"&amp;AH15</f>
        <v>-</v>
      </c>
      <c r="AF16" s="2268"/>
      <c r="AG16" s="2268"/>
      <c r="AH16" s="2268"/>
      <c r="AI16" s="2268"/>
      <c r="AQ16" s="1155">
        <v>0</v>
      </c>
    </row>
    <row r="17" ht="14.25" hidden="1" customHeight="1">
      <c r="AI17" s="327"/>
      <c r="AQ17" s="1155">
        <v>0</v>
      </c>
    </row>
    <row r="18" s="1366" customFormat="1" ht="22.5" hidden="1" customHeight="1">
      <c r="L18" s="1478"/>
      <c r="M18" s="1362"/>
      <c r="N18" s="1362"/>
      <c r="O18" s="1367" t="s">
        <v>419</v>
      </c>
      <c r="P18" s="1362"/>
      <c r="Q18" s="1371"/>
      <c r="R18" s="1371"/>
      <c r="S18" s="729"/>
      <c r="Y18" s="1367"/>
      <c r="AA18" s="1367"/>
      <c r="AB18" s="1366"/>
      <c r="AF18" s="1367"/>
      <c r="AH18" s="1367"/>
      <c r="AI18" s="1366"/>
      <c r="AL18" s="511"/>
      <c r="AM18" s="511"/>
      <c r="AN18" s="511"/>
      <c r="AO18" s="511"/>
      <c r="AP18" s="511"/>
      <c r="AQ18" s="1160">
        <v>0</v>
      </c>
    </row>
    <row r="19" s="1366" customFormat="1" ht="14.25" hidden="1" customHeight="1">
      <c r="L19" s="1478"/>
      <c r="M19" s="1362"/>
      <c r="N19" s="1362"/>
      <c r="O19" s="1362"/>
      <c r="P19" s="1362"/>
      <c r="Q19" s="1371"/>
      <c r="R19" s="1371"/>
      <c r="S19" s="729"/>
      <c r="AB19" s="1366"/>
      <c r="AI19" s="1366"/>
      <c r="AL19" s="511"/>
      <c r="AM19" s="511"/>
      <c r="AN19" s="511"/>
      <c r="AO19" s="511"/>
      <c r="AP19" s="511"/>
      <c r="AQ19" s="1160">
        <v>0</v>
      </c>
    </row>
    <row r="20" s="1366" customFormat="1" ht="12" hidden="1" customHeight="1">
      <c r="L20" s="1478"/>
      <c r="M20" s="1362"/>
      <c r="N20" s="1362"/>
      <c r="O20" s="1364" t="s">
        <v>420</v>
      </c>
      <c r="P20" s="1362"/>
      <c r="Q20" s="1442"/>
      <c r="R20" s="1442"/>
      <c r="S20" s="729"/>
      <c r="T20" s="1160" t="s">
        <v>421</v>
      </c>
      <c r="Z20" s="186" t="s">
        <v>422</v>
      </c>
      <c r="AB20" s="186" t="s">
        <v>423</v>
      </c>
      <c r="AC20" s="1160" t="s">
        <v>421</v>
      </c>
      <c r="AG20" s="186" t="s">
        <v>424</v>
      </c>
      <c r="AI20" s="186" t="s">
        <v>423</v>
      </c>
      <c r="AQ20" s="1160">
        <v>0</v>
      </c>
    </row>
    <row r="21" ht="14.25" hidden="1" customHeight="1">
      <c r="O21" s="1364"/>
      <c r="AQ21" s="1155">
        <v>0</v>
      </c>
    </row>
    <row r="22" ht="14.25" hidden="1" customHeight="1">
      <c r="O22" s="1364"/>
      <c r="AQ22" s="1155">
        <v>0</v>
      </c>
    </row>
    <row r="23" ht="14.65" customHeight="1">
      <c r="Q23" s="376"/>
      <c r="R23" s="376"/>
      <c r="S23" s="1275"/>
      <c r="T23" s="363"/>
      <c r="U23" s="363"/>
      <c r="V23" s="509"/>
      <c r="W23" s="509"/>
      <c r="X23" s="509"/>
      <c r="Y23" s="509"/>
      <c r="Z23" s="509"/>
      <c r="AA23" s="509"/>
      <c r="AB23" s="509"/>
      <c r="AC23" s="509"/>
      <c r="AD23" s="509"/>
      <c r="AE23" s="509"/>
      <c r="AF23" s="509"/>
      <c r="AG23" s="509"/>
      <c r="AH23" s="509"/>
      <c r="AI23" s="509"/>
      <c r="AQ23" s="1155">
        <v>14</v>
      </c>
    </row>
    <row r="24" ht="14.65" customHeight="1">
      <c r="Q24" s="376"/>
      <c r="R24" s="376"/>
      <c r="S24" s="2248" t="str">
        <f>IF(TEMPLATE_GROUP="P",PT_P_FORM_VOTV_4_NAME_FORM,PT_R_FORM_VOTV_16_NAME_FORM)</f>
        <v xml:space="preserve">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r="25" ht="14.65" customHeight="1">
      <c r="Q25" s="376"/>
      <c r="R25" s="376"/>
      <c r="S25" s="2249" t="str">
        <f>IF(org=0,"Не определено",org)</f>
        <v xml:space="preserve">филиал ПАО "ОГК-2" - Рязанская ГРЭС</v>
      </c>
      <c r="T25" s="2249"/>
      <c r="U25" s="2249"/>
      <c r="V25" s="2249"/>
      <c r="W25" s="2249"/>
      <c r="X25" s="2249"/>
      <c r="Y25" s="2249"/>
      <c r="Z25" s="2249"/>
      <c r="AA25" s="2249"/>
      <c r="AB25" s="2249"/>
      <c r="AC25" s="2249"/>
      <c r="AD25" s="2249"/>
      <c r="AE25" s="2249"/>
      <c r="AF25" s="2249"/>
      <c r="AG25" s="2249"/>
      <c r="AH25" s="2249"/>
      <c r="AI25" s="1243"/>
      <c r="AQ25" s="1155">
        <v>14</v>
      </c>
    </row>
    <row r="26" ht="14.25" hidden="1" customHeight="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r="27" s="1853" customFormat="1" ht="25.5" hidden="1" customHeight="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r="28" s="1853" customFormat="1" ht="18.75" hidden="1" customHeight="1">
      <c r="A28" s="1368"/>
      <c r="B28" s="1368"/>
      <c r="C28" s="1368"/>
      <c r="D28" s="1368"/>
      <c r="E28" s="1368"/>
      <c r="F28" s="1368"/>
      <c r="G28" s="1368"/>
      <c r="H28" s="1368"/>
      <c r="I28" s="1368"/>
      <c r="J28" s="1368"/>
      <c r="K28" s="1368"/>
      <c r="L28" s="1369"/>
      <c r="M28" s="1368"/>
      <c r="N28" s="1368"/>
      <c r="O28" s="1368"/>
      <c r="S28" s="2250" t="s">
        <v>425</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r="29" s="1853" customFormat="1" ht="18.75" hidden="1" customHeight="1">
      <c r="A29" s="1368"/>
      <c r="B29" s="1368"/>
      <c r="C29" s="1368"/>
      <c r="D29" s="1368"/>
      <c r="E29" s="1368"/>
      <c r="F29" s="1368"/>
      <c r="G29" s="1368"/>
      <c r="H29" s="1368"/>
      <c r="I29" s="1368"/>
      <c r="J29" s="1368"/>
      <c r="K29" s="1368"/>
      <c r="L29" s="1369"/>
      <c r="M29" s="1368"/>
      <c r="N29" s="1368"/>
      <c r="O29" s="1368"/>
      <c r="S29" s="2250" t="s">
        <v>426</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r="30" s="1853" customFormat="1" ht="18.75" hidden="1" customHeight="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r="31" ht="14.25" hidden="1" customHeight="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r="32" s="1853" customFormat="1" ht="18.75" hidden="1" customHeight="1">
      <c r="A32" s="1368"/>
      <c r="B32" s="1368"/>
      <c r="C32" s="1368"/>
      <c r="D32" s="1368"/>
      <c r="E32" s="1368"/>
      <c r="F32" s="1368"/>
      <c r="G32" s="1368"/>
      <c r="H32" s="1368"/>
      <c r="I32" s="1368"/>
      <c r="J32" s="1368"/>
      <c r="K32" s="1368"/>
      <c r="L32" s="1369"/>
      <c r="M32" s="1368"/>
      <c r="N32" s="1368"/>
      <c r="O32" s="1368"/>
      <c r="S32" s="2250" t="s">
        <v>427</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r="33" s="1853" customFormat="1" ht="18.75" hidden="1" customHeight="1">
      <c r="A33" s="1368"/>
      <c r="B33" s="1368"/>
      <c r="C33" s="1368"/>
      <c r="D33" s="1368"/>
      <c r="E33" s="1368"/>
      <c r="F33" s="1368"/>
      <c r="G33" s="1368"/>
      <c r="H33" s="1368"/>
      <c r="I33" s="1368"/>
      <c r="J33" s="1368"/>
      <c r="K33" s="1368"/>
      <c r="L33" s="1369"/>
      <c r="M33" s="1368"/>
      <c r="N33" s="1368"/>
      <c r="O33" s="1368"/>
      <c r="S33" s="2250" t="s">
        <v>428</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r="34" s="1853" customFormat="1" ht="1.05" customHeight="1">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429</v>
      </c>
      <c r="AC34" s="326"/>
      <c r="AD34" s="326"/>
      <c r="AE34" s="326"/>
      <c r="AF34" s="326"/>
      <c r="AG34" s="326"/>
      <c r="AH34" s="326"/>
      <c r="AI34" s="278" t="s">
        <v>429</v>
      </c>
      <c r="AL34" s="368"/>
      <c r="AM34" s="368"/>
      <c r="AN34" s="368"/>
      <c r="AO34" s="368"/>
      <c r="AP34" s="368"/>
      <c r="AQ34" s="418">
        <v>1</v>
      </c>
    </row>
    <row r="35" ht="14.65" customHeight="1">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r="36" ht="14.65" customHeight="1">
      <c r="Q36" s="376"/>
      <c r="R36" s="376"/>
      <c r="S36" s="2127" t="s">
        <v>302</v>
      </c>
      <c r="T36" s="2127"/>
      <c r="U36" s="2127"/>
      <c r="V36" s="2127"/>
      <c r="W36" s="2127"/>
      <c r="X36" s="2127"/>
      <c r="Y36" s="2127"/>
      <c r="Z36" s="2127"/>
      <c r="AA36" s="2127"/>
      <c r="AB36" s="2127"/>
      <c r="AC36" s="2127"/>
      <c r="AD36" s="2127"/>
      <c r="AE36" s="2127"/>
      <c r="AF36" s="2127"/>
      <c r="AG36" s="2127"/>
      <c r="AH36" s="2127"/>
      <c r="AI36" s="2127"/>
      <c r="AJ36" s="2127"/>
      <c r="AK36" s="2127" t="s">
        <v>303</v>
      </c>
      <c r="AQ36" s="1155">
        <v>14</v>
      </c>
    </row>
    <row r="37" ht="14.65" customHeight="1">
      <c r="Q37" s="376"/>
      <c r="R37" s="376"/>
      <c r="S37" s="2273" t="s">
        <v>87</v>
      </c>
      <c r="T37" s="2209" t="s">
        <v>430</v>
      </c>
      <c r="U37" s="301"/>
      <c r="V37" s="2274" t="s">
        <v>431</v>
      </c>
      <c r="W37" s="2275"/>
      <c r="X37" s="2275"/>
      <c r="Y37" s="2275"/>
      <c r="Z37" s="2275"/>
      <c r="AA37" s="2276"/>
      <c r="AB37" s="2277" t="s">
        <v>432</v>
      </c>
      <c r="AC37" s="2274" t="s">
        <v>431</v>
      </c>
      <c r="AD37" s="2275"/>
      <c r="AE37" s="2275"/>
      <c r="AF37" s="2275"/>
      <c r="AG37" s="2275"/>
      <c r="AH37" s="2276"/>
      <c r="AI37" s="2277" t="s">
        <v>433</v>
      </c>
      <c r="AJ37" s="2280" t="s">
        <v>434</v>
      </c>
      <c r="AK37" s="2127"/>
      <c r="AQ37" s="1155">
        <v>14</v>
      </c>
    </row>
    <row r="38" ht="35.649999999999999" customHeight="1">
      <c r="Q38" s="376"/>
      <c r="R38" s="376"/>
      <c r="S38" s="2273"/>
      <c r="T38" s="2209"/>
      <c r="U38" s="1031"/>
      <c r="V38" s="1483" t="s">
        <v>491</v>
      </c>
      <c r="W38" s="2262" t="s">
        <v>437</v>
      </c>
      <c r="X38" s="2263"/>
      <c r="Y38" s="2262" t="s">
        <v>438</v>
      </c>
      <c r="Z38" s="2269"/>
      <c r="AA38" s="2263"/>
      <c r="AB38" s="2278"/>
      <c r="AC38" s="1483" t="s">
        <v>491</v>
      </c>
      <c r="AD38" s="2262" t="s">
        <v>437</v>
      </c>
      <c r="AE38" s="2263"/>
      <c r="AF38" s="2262" t="s">
        <v>438</v>
      </c>
      <c r="AG38" s="2269"/>
      <c r="AH38" s="2263"/>
      <c r="AI38" s="2278"/>
      <c r="AJ38" s="2281"/>
      <c r="AK38" s="2127"/>
      <c r="AQ38" s="1155">
        <v>34</v>
      </c>
    </row>
    <row r="39" ht="90.299999999999997" customHeight="1">
      <c r="A39" s="1370"/>
      <c r="B39" s="1370" t="s">
        <v>139</v>
      </c>
      <c r="C39" s="1370" t="s">
        <v>140</v>
      </c>
      <c r="D39" s="1370" t="s">
        <v>141</v>
      </c>
      <c r="E39" s="1364" t="s">
        <v>439</v>
      </c>
      <c r="F39" s="1364" t="s">
        <v>440</v>
      </c>
      <c r="G39" s="1364" t="s">
        <v>441</v>
      </c>
      <c r="H39" s="1364"/>
      <c r="I39" s="1364" t="s">
        <v>492</v>
      </c>
      <c r="J39" s="1364" t="s">
        <v>444</v>
      </c>
      <c r="K39" s="1364" t="s">
        <v>493</v>
      </c>
      <c r="L39" s="1364" t="s">
        <v>420</v>
      </c>
      <c r="Q39" s="376"/>
      <c r="R39" s="376"/>
      <c r="S39" s="2273"/>
      <c r="T39" s="2209"/>
      <c r="U39" s="302"/>
      <c r="V39" s="1483" t="s">
        <v>520</v>
      </c>
      <c r="W39" s="1222" t="s">
        <v>521</v>
      </c>
      <c r="X39" s="1222" t="s">
        <v>496</v>
      </c>
      <c r="Y39" s="1489" t="s">
        <v>448</v>
      </c>
      <c r="Z39" s="2270" t="s">
        <v>449</v>
      </c>
      <c r="AA39" s="2271"/>
      <c r="AB39" s="2279"/>
      <c r="AC39" s="1483" t="s">
        <v>520</v>
      </c>
      <c r="AD39" s="1222" t="s">
        <v>521</v>
      </c>
      <c r="AE39" s="1222" t="s">
        <v>496</v>
      </c>
      <c r="AF39" s="1489" t="s">
        <v>448</v>
      </c>
      <c r="AG39" s="2270" t="s">
        <v>449</v>
      </c>
      <c r="AH39" s="2271"/>
      <c r="AI39" s="2279"/>
      <c r="AJ39" s="2282"/>
      <c r="AK39" s="2127"/>
      <c r="AQ39" s="1155">
        <v>86</v>
      </c>
    </row>
    <row r="40" s="1641" customFormat="1" ht="11.25" hidden="1" customHeight="1">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r="41" ht="24" customHeight="1">
      <c r="A41" s="1363" t="s">
        <v>268</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127</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 xml:space="preserve">Наименование тарифа</v>
      </c>
      <c r="AO41" s="500"/>
      <c r="AP41" s="500"/>
      <c r="AQ41" s="1155">
        <v>23</v>
      </c>
    </row>
    <row r="42" ht="24" customHeight="1">
      <c r="A42" s="1363" t="s">
        <v>268</v>
      </c>
      <c r="B42" s="1363" t="s">
        <v>269</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399</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400</v>
      </c>
      <c r="AM42" s="500"/>
      <c r="AN42" s="500" t="str">
        <f>IF(T42="","",T42)</f>
        <v xml:space="preserve">Территория действия тарифа</v>
      </c>
      <c r="AO42" s="500"/>
      <c r="AP42" s="500"/>
      <c r="AQ42" s="1155">
        <v>23</v>
      </c>
    </row>
    <row r="43" ht="24" customHeight="1">
      <c r="A43" s="1363" t="s">
        <v>268</v>
      </c>
      <c r="B43" s="1363" t="s">
        <v>269</v>
      </c>
      <c r="C43" s="1363" t="s">
        <v>270</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518</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519</v>
      </c>
      <c r="AM43" s="500"/>
      <c r="AN43" s="500" t="str">
        <f>IF(T43="","",T43)</f>
        <v xml:space="preserve">Наименование централизованной системы водоотведения</v>
      </c>
      <c r="AO43" s="500"/>
      <c r="AP43" s="500"/>
      <c r="AQ43" s="1155">
        <v>23</v>
      </c>
    </row>
    <row r="44" ht="24" customHeight="1">
      <c r="A44" s="1363" t="s">
        <v>268</v>
      </c>
      <c r="B44" s="1363" t="s">
        <v>269</v>
      </c>
      <c r="C44" s="1363" t="s">
        <v>270</v>
      </c>
      <c r="D44" s="1363" t="s">
        <v>522</v>
      </c>
      <c r="E44" s="2259"/>
      <c r="F44" s="2259"/>
      <c r="G44" s="2259"/>
      <c r="H44" s="2259"/>
      <c r="I44" s="2256" t="str">
        <f>S43&amp;".1"</f>
        <v>...1</v>
      </c>
      <c r="J44" s="1363"/>
      <c r="K44" s="1363"/>
      <c r="L44" s="1364"/>
      <c r="P44" s="2257">
        <v>1</v>
      </c>
      <c r="Q44" s="1481"/>
      <c r="R44" s="356"/>
      <c r="S44" s="1493" t="str">
        <f>$I44</f>
        <v>...1</v>
      </c>
      <c r="T44" s="285" t="s">
        <v>485</v>
      </c>
      <c r="U44" s="300"/>
      <c r="V44" s="2350"/>
      <c r="W44" s="2351"/>
      <c r="X44" s="2351"/>
      <c r="Y44" s="2351"/>
      <c r="Z44" s="2351"/>
      <c r="AA44" s="2351"/>
      <c r="AB44" s="2352"/>
      <c r="AC44" s="2353"/>
      <c r="AD44" s="2354"/>
      <c r="AE44" s="2354"/>
      <c r="AF44" s="2354"/>
      <c r="AG44" s="2354"/>
      <c r="AH44" s="2354"/>
      <c r="AI44" s="2354"/>
      <c r="AJ44" s="2355"/>
      <c r="AK44" s="1258" t="s">
        <v>486</v>
      </c>
      <c r="AM44" s="500"/>
      <c r="AN44" s="500" t="str">
        <f>IF(T44="","",T44)</f>
        <v xml:space="preserve">Наименование признака дифференциации</v>
      </c>
      <c r="AO44" s="500"/>
      <c r="AP44" s="500"/>
      <c r="AQ44" s="1155">
        <v>23</v>
      </c>
    </row>
    <row r="45" ht="24" customHeight="1">
      <c r="A45" s="1363" t="s">
        <v>268</v>
      </c>
      <c r="B45" s="1363" t="s">
        <v>269</v>
      </c>
      <c r="C45" s="1363" t="s">
        <v>270</v>
      </c>
      <c r="D45" s="1363" t="s">
        <v>522</v>
      </c>
      <c r="E45" s="2259"/>
      <c r="F45" s="2259"/>
      <c r="G45" s="2259"/>
      <c r="H45" s="2259"/>
      <c r="I45" s="2286"/>
      <c r="J45" s="2256" t="str">
        <f>I44&amp;".1"</f>
        <v>...1.1</v>
      </c>
      <c r="K45" s="1363"/>
      <c r="L45" s="1364" t="s">
        <v>408</v>
      </c>
      <c r="P45" s="2257"/>
      <c r="Q45" s="2257">
        <v>1</v>
      </c>
      <c r="R45" s="357"/>
      <c r="S45" s="1493" t="str">
        <f>$J45</f>
        <v>...1.1</v>
      </c>
      <c r="T45" s="286" t="s">
        <v>409</v>
      </c>
      <c r="U45" s="300"/>
      <c r="V45" s="2245"/>
      <c r="W45" s="2246"/>
      <c r="X45" s="2246"/>
      <c r="Y45" s="2246"/>
      <c r="Z45" s="2246"/>
      <c r="AA45" s="2246"/>
      <c r="AB45" s="2247"/>
      <c r="AC45" s="2245"/>
      <c r="AD45" s="2246"/>
      <c r="AE45" s="2246"/>
      <c r="AF45" s="2246"/>
      <c r="AG45" s="2246"/>
      <c r="AH45" s="2246"/>
      <c r="AI45" s="2246"/>
      <c r="AJ45" s="2247"/>
      <c r="AK45" s="1307" t="s">
        <v>487</v>
      </c>
      <c r="AM45" s="500"/>
      <c r="AN45" s="500" t="str">
        <f>IF(T45="","",T45)</f>
        <v xml:space="preserve">Группа потребителей</v>
      </c>
      <c r="AO45" s="500"/>
      <c r="AP45" s="500"/>
      <c r="AQ45" s="1155">
        <v>23</v>
      </c>
    </row>
    <row r="46" ht="24" customHeight="1">
      <c r="A46" s="1363" t="s">
        <v>268</v>
      </c>
      <c r="B46" s="1363" t="s">
        <v>269</v>
      </c>
      <c r="C46" s="1363" t="s">
        <v>270</v>
      </c>
      <c r="D46" s="1363" t="s">
        <v>522</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r="47" ht="0" customHeight="1">
      <c r="A47" s="1363" t="s">
        <v>268</v>
      </c>
      <c r="B47" s="1363" t="s">
        <v>269</v>
      </c>
      <c r="C47" s="1363" t="s">
        <v>270</v>
      </c>
      <c r="D47" s="1363" t="s">
        <v>522</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r="48" ht="21" customHeight="1">
      <c r="A48" s="1363" t="s">
        <v>268</v>
      </c>
      <c r="B48" s="1363" t="s">
        <v>269</v>
      </c>
      <c r="C48" s="1363" t="s">
        <v>270</v>
      </c>
      <c r="D48" s="1363" t="s">
        <v>522</v>
      </c>
      <c r="E48" s="2259"/>
      <c r="F48" s="2259"/>
      <c r="G48" s="2259"/>
      <c r="H48" s="2259"/>
      <c r="I48" s="2286"/>
      <c r="J48" s="2256"/>
      <c r="K48" s="1363"/>
      <c r="L48" s="1364"/>
      <c r="P48" s="2257"/>
      <c r="Q48" s="2257"/>
      <c r="R48" s="356"/>
      <c r="S48" s="1278"/>
      <c r="T48" s="287" t="s">
        <v>488</v>
      </c>
      <c r="U48" s="367"/>
      <c r="V48" s="367"/>
      <c r="W48" s="367"/>
      <c r="X48" s="367"/>
      <c r="Y48" s="367"/>
      <c r="Z48" s="367"/>
      <c r="AA48" s="367"/>
      <c r="AB48" s="367"/>
      <c r="AC48" s="367"/>
      <c r="AD48" s="367"/>
      <c r="AE48" s="367"/>
      <c r="AF48" s="367"/>
      <c r="AG48" s="367"/>
      <c r="AH48" s="367"/>
      <c r="AI48" s="367"/>
      <c r="AJ48" s="367"/>
      <c r="AK48" s="1258" t="s">
        <v>489</v>
      </c>
      <c r="AM48" s="500"/>
      <c r="AN48" s="500" t="str">
        <f>IF(T48="","",T48)</f>
        <v xml:space="preserve">Добавить значение признака дифференциации</v>
      </c>
      <c r="AO48" s="500"/>
      <c r="AP48" s="500"/>
      <c r="AQ48" s="1155">
        <v>20</v>
      </c>
    </row>
    <row r="49" ht="22" customHeight="1">
      <c r="A49" s="1363" t="s">
        <v>268</v>
      </c>
      <c r="B49" s="1363" t="s">
        <v>269</v>
      </c>
      <c r="C49" s="1363" t="s">
        <v>270</v>
      </c>
      <c r="D49" s="1363" t="s">
        <v>522</v>
      </c>
      <c r="E49" s="2259"/>
      <c r="F49" s="2259"/>
      <c r="G49" s="2259"/>
      <c r="H49" s="2259"/>
      <c r="I49" s="2256"/>
      <c r="J49" s="1363"/>
      <c r="K49" s="1363"/>
      <c r="L49" s="1364"/>
      <c r="P49" s="2257"/>
      <c r="Q49" s="1481"/>
      <c r="R49" s="356"/>
      <c r="S49" s="1278"/>
      <c r="T49" s="365" t="s">
        <v>414</v>
      </c>
      <c r="U49" s="367"/>
      <c r="V49" s="367"/>
      <c r="W49" s="367"/>
      <c r="X49" s="367"/>
      <c r="Y49" s="367"/>
      <c r="Z49" s="367"/>
      <c r="AA49" s="367"/>
      <c r="AB49" s="366"/>
      <c r="AC49" s="367"/>
      <c r="AD49" s="367"/>
      <c r="AE49" s="367"/>
      <c r="AF49" s="367"/>
      <c r="AG49" s="367"/>
      <c r="AH49" s="367"/>
      <c r="AI49" s="366"/>
      <c r="AJ49" s="367"/>
      <c r="AK49" s="1440"/>
      <c r="AM49" s="500"/>
      <c r="AN49" s="500" t="str">
        <f>IF(T49="","",T49)</f>
        <v xml:space="preserve">Добавить группу потребителей</v>
      </c>
      <c r="AO49" s="500"/>
      <c r="AP49" s="500"/>
      <c r="AQ49" s="1155">
        <v>21</v>
      </c>
    </row>
    <row r="50" ht="22" customHeight="1">
      <c r="A50" s="1363" t="s">
        <v>268</v>
      </c>
      <c r="B50" s="1363" t="s">
        <v>269</v>
      </c>
      <c r="C50" s="1363" t="s">
        <v>270</v>
      </c>
      <c r="D50" s="1363" t="s">
        <v>522</v>
      </c>
      <c r="E50" s="2259"/>
      <c r="F50" s="2259"/>
      <c r="G50" s="2259"/>
      <c r="H50" s="2258"/>
      <c r="I50" s="1363"/>
      <c r="J50" s="1363"/>
      <c r="K50" s="1363"/>
      <c r="L50" s="1364"/>
      <c r="M50" s="1365"/>
      <c r="N50" s="1365"/>
      <c r="O50" s="537"/>
      <c r="P50" s="360"/>
      <c r="Q50" s="375"/>
      <c r="R50" s="355"/>
      <c r="S50" s="1278"/>
      <c r="T50" s="372" t="s">
        <v>490</v>
      </c>
      <c r="U50" s="367"/>
      <c r="V50" s="367"/>
      <c r="W50" s="367"/>
      <c r="X50" s="367"/>
      <c r="Y50" s="367"/>
      <c r="Z50" s="367"/>
      <c r="AA50" s="367"/>
      <c r="AB50" s="366"/>
      <c r="AC50" s="367"/>
      <c r="AD50" s="367"/>
      <c r="AE50" s="367"/>
      <c r="AF50" s="367"/>
      <c r="AG50" s="367"/>
      <c r="AH50" s="367"/>
      <c r="AI50" s="366"/>
      <c r="AJ50" s="367"/>
      <c r="AK50" s="303"/>
      <c r="AM50" s="500"/>
      <c r="AN50" s="500" t="str">
        <f>IF(T50="","",T50)</f>
        <v xml:space="preserve">Добавить наименование признака дифференциации</v>
      </c>
      <c r="AO50" s="500"/>
      <c r="AP50" s="500"/>
      <c r="AQ50" s="1155">
        <v>21</v>
      </c>
    </row>
    <row r="51" s="1642" customFormat="1" ht="0" customHeight="1">
      <c r="A51" s="1343" t="s">
        <v>268</v>
      </c>
      <c r="B51" s="1343" t="s">
        <v>269</v>
      </c>
      <c r="C51" s="1314"/>
      <c r="D51" s="1314"/>
      <c r="E51" s="2259"/>
      <c r="F51" s="2258"/>
      <c r="G51" s="1314"/>
      <c r="H51" s="1314"/>
      <c r="I51" s="1314"/>
      <c r="J51" s="1314"/>
      <c r="K51" s="1314"/>
      <c r="L51" s="1494"/>
      <c r="M51" s="1321"/>
      <c r="N51" s="1321"/>
      <c r="P51" s="1316"/>
      <c r="Q51" s="1317"/>
      <c r="R51" s="1316"/>
      <c r="S51" s="1322"/>
      <c r="T51" s="1325" t="s">
        <v>417</v>
      </c>
      <c r="U51" s="1324"/>
      <c r="V51" s="1324"/>
      <c r="W51" s="1324"/>
      <c r="X51" s="1324"/>
      <c r="Y51" s="1324"/>
      <c r="Z51" s="1324"/>
      <c r="AA51" s="1324"/>
      <c r="AB51" s="1324"/>
      <c r="AC51" s="1324"/>
      <c r="AD51" s="1324"/>
      <c r="AE51" s="1324"/>
      <c r="AF51" s="1324"/>
      <c r="AG51" s="1324"/>
      <c r="AH51" s="1324"/>
      <c r="AI51" s="1324"/>
      <c r="AJ51" s="1324"/>
      <c r="AK51" s="1324"/>
      <c r="AM51" s="789"/>
      <c r="AN51" s="789" t="str">
        <f>IF(T51="","",T51)</f>
        <v xml:space="preserve">Добавить централизованную систему для дифференциации</v>
      </c>
      <c r="AO51" s="789"/>
      <c r="AP51" s="789"/>
      <c r="AQ51" s="518">
        <v>0</v>
      </c>
    </row>
    <row r="52" s="1642" customFormat="1" ht="0" customHeight="1">
      <c r="A52" s="1343" t="s">
        <v>268</v>
      </c>
      <c r="B52" s="1343"/>
      <c r="C52" s="1343"/>
      <c r="D52" s="1343"/>
      <c r="E52" s="2258"/>
      <c r="F52" s="1343"/>
      <c r="G52" s="1343"/>
      <c r="H52" s="1343"/>
      <c r="I52" s="1343"/>
      <c r="J52" s="1343"/>
      <c r="K52" s="1343"/>
      <c r="L52" s="1346"/>
      <c r="M52" s="1321"/>
      <c r="N52" s="1321"/>
      <c r="O52" s="518"/>
      <c r="P52" s="380"/>
      <c r="Q52" s="1344"/>
      <c r="R52" s="380"/>
      <c r="S52" s="1322"/>
      <c r="T52" s="1325" t="s">
        <v>418</v>
      </c>
      <c r="U52" s="1324"/>
      <c r="V52" s="1324"/>
      <c r="W52" s="1324"/>
      <c r="X52" s="1324"/>
      <c r="Y52" s="1324"/>
      <c r="Z52" s="1324"/>
      <c r="AA52" s="1324"/>
      <c r="AB52" s="1324"/>
      <c r="AC52" s="1324"/>
      <c r="AD52" s="1324"/>
      <c r="AE52" s="1324"/>
      <c r="AF52" s="1324"/>
      <c r="AG52" s="1324"/>
      <c r="AH52" s="1324"/>
      <c r="AI52" s="1324"/>
      <c r="AJ52" s="1324"/>
      <c r="AK52" s="1324"/>
      <c r="AM52" s="500"/>
      <c r="AN52" s="500" t="str">
        <f>IF(T52="","",T52)</f>
        <v xml:space="preserve">Добавить территорию для дифференциации</v>
      </c>
      <c r="AO52" s="500"/>
      <c r="AP52" s="500"/>
      <c r="AQ52" s="511">
        <v>0</v>
      </c>
    </row>
    <row r="53" s="1642" customFormat="1" ht="0" customHeight="1">
      <c r="A53" s="1314"/>
      <c r="B53" s="1314"/>
      <c r="C53" s="1314"/>
      <c r="D53" s="1314"/>
      <c r="E53" s="1343"/>
      <c r="F53" s="1314"/>
      <c r="G53" s="1314"/>
      <c r="H53" s="1314"/>
      <c r="I53" s="1314"/>
      <c r="J53" s="1314"/>
      <c r="K53" s="1314"/>
      <c r="L53" s="1494"/>
      <c r="M53" s="1321"/>
      <c r="N53" s="1321"/>
      <c r="P53" s="1316"/>
      <c r="Q53" s="1317"/>
      <c r="R53" s="1316"/>
      <c r="S53" s="1322"/>
      <c r="T53" s="1325" t="s">
        <v>450</v>
      </c>
      <c r="U53" s="1324"/>
      <c r="V53" s="1324"/>
      <c r="W53" s="1324"/>
      <c r="X53" s="1324"/>
      <c r="Y53" s="1324"/>
      <c r="Z53" s="1324"/>
      <c r="AA53" s="1324"/>
      <c r="AB53" s="1324"/>
      <c r="AC53" s="1324"/>
      <c r="AD53" s="1324"/>
      <c r="AE53" s="1324"/>
      <c r="AF53" s="1324"/>
      <c r="AG53" s="1324"/>
      <c r="AH53" s="1324"/>
      <c r="AI53" s="1324"/>
      <c r="AJ53" s="1324"/>
      <c r="AK53" s="1324"/>
      <c r="AM53" s="789"/>
      <c r="AN53" s="789" t="str">
        <f>IF(T53="","",T53)</f>
        <v xml:space="preserve">Добавить наименование тарифа</v>
      </c>
      <c r="AO53" s="789"/>
      <c r="AP53" s="789"/>
      <c r="AQ53" s="518">
        <v>0</v>
      </c>
    </row>
    <row r="54" ht="11.5" customHeight="1">
      <c r="M54" s="1160"/>
      <c r="N54" s="1160"/>
      <c r="O54" s="537"/>
      <c r="P54" s="1155"/>
      <c r="Q54" s="1155"/>
      <c r="R54" s="1155"/>
      <c r="S54" s="1155"/>
      <c r="AL54" s="1155"/>
      <c r="AM54" s="1155"/>
      <c r="AN54" s="1155"/>
      <c r="AO54" s="1155"/>
      <c r="AP54" s="1155"/>
      <c r="AQ54" s="1155">
        <v>11</v>
      </c>
    </row>
    <row r="55" ht="14.65" customHeight="1">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r="56" ht="14.65" customHeight="1">
      <c r="O56" s="537"/>
      <c r="AQ56" s="1155">
        <v>14</v>
      </c>
    </row>
    <row r="57" ht="14.65" customHeight="1">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r="58" ht="22.5" hidden="1" customHeight="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autoFilter="0" deleteColumns="0" deleteRows="0" formatColumns="0" formatRows="0" insertColumns="1" insertRows="0" sort="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4">
    <dataValidation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allowBlank="1" promptTitle="checkPeriodRange"/>
    <dataValidation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allowBlank="1" prompt="Выберите дату из календаря (иконка справа от указанной ячейки), либо введите дату непосредственно в ячейку в формате - 'ДД.ММ.ГГГГ'." showErrorMessage="1" showInputMessage="1"/>
    <dataValidation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allowBlank="1" prompt="Для выбора выполните двойной щелчок левой клавиши мыши по соответствующей ячейке." showErrorMessage="1" showInputMessage="1"/>
    <dataValidation sqref="S131116:AK131122 S196652:AK196658 S262188:AK262194 S327724:AK327730 S393260:AK393266 S458796:AK458802 S524332:AK524338 S589868:AK589874 S655404:AK655410 S720940:AK720946 S786476:AK786482 S852012:AK852018 S917548:AK917554 S983084:AK983090 S65580:AK65586" allowBlank="1"/>
  </dataValidations>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x14:dataValidation xr:uid="{00050025-0054-407D-B13E-00EA007100DB}" type="list" allowBlank="1" error="Выберите значение из списка" errorTitle="Ошибка" showErrorMessage="1" showInputMessage="1">
          <x14:formula1>
            <xm:f>kind_of_scheme_in</xm:f>
          </x14:formula1>
          <xm:sqref>V983080 V65576 V131112 V196648 V262184 V327720 V393256 V458792 V524328 V589864 V655400 V720936 V786472 V852008 V917544 AC983080 AC65576 AC131112 AC196648 AC262184 AC327720 AC393256 AC458792 AC524328 AC589864 AC655400 AC720936 AC786472 AC852008 AC917544</xm:sqref>
        </x14:dataValidation>
        <x14:dataValidation xr:uid="{00D60046-00D4-47C6-A243-00CD0049006A}" type="textLength" allowBlank="1" error="Допускается ввод не более 900 символов!" errorTitle="Ошибка" operator="lessThanOrEqual" showErrorMessage="1" showInputMessage="1">
          <x14:formula1>
            <xm:f>900</xm:f>
          </x14:formula1>
          <xm: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xm:sqref>
        </x14:dataValidation>
        <x14:dataValidation xr:uid="{0033004D-006E-41D7-B487-004D00A00099}" type="list" allowBlank="1" error="Выберите значение из списка" errorTitle="Ошибка" showErrorMessage="1" showInputMessage="1">
          <x14:formula1>
            <xm:f>kind_of_heat_transfer</xm:f>
          </x14:formula1>
          <xm:sqref>T65578 T131114 T196650 T262186 T327722 T393258 T458794 T524330 T589866 T655402 T720938 T786474 T852010 T917546 T983082</xm:sqref>
        </x14:dataValidation>
        <x14:dataValidation xr:uid="{00570051-009E-4A7B-8FF8-000300AF00AF}" type="list" allowBlank="1" error="Выберите значение из списка" errorTitle="Ошибка" prompt="Выберите значение из списка" showInputMessage="1">
          <x14:formula1>
            <xm:f>kind_of_cons</xm:f>
          </x14:formula1>
          <xm:sqref>V983081:AJ983081 V65577:AJ65577 V131113:AJ131113 V196649:AJ196649 V262185:AJ262185 V327721:AJ327721 V393257:AJ393257 V458793:AJ458793 V524329:AJ524329 V589865:AJ589865 V655401:AJ655401 V720937:AJ720937 V786473:AJ786473 V852009:AJ852009 V917545:AJ917545</xm:sqref>
        </x14:dataValidation>
      </x14:dataValidations>
    </ext>
  </extLs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sheetPr>
  <sheetViews>
    <sheetView showGridLines="0" topLeftCell="A1" zoomScale="90" workbookViewId="0">
      <selection activeCell="A1" sqref="A1"/>
    </sheetView>
  </sheetViews>
  <sheetFormatPr defaultColWidth="10.57421875" defaultRowHeight="14.25" customHeight="1"/>
  <cols>
    <col hidden="1" min="1" max="1" style="1366" width="10.57421875"/>
    <col customWidth="1" hidden="1" min="2" max="2" style="1366" width="11.00390625"/>
    <col hidden="1" min="3" max="3" style="1366" width="10.57421875"/>
    <col customWidth="1" hidden="1" min="4" max="4" style="1366" width="11.8515625"/>
    <col customWidth="1" hidden="1" min="5" max="5" style="1366" width="10.00390625"/>
    <col customWidth="1" hidden="1" min="6" max="6" style="1366" width="8.7109375"/>
    <col customWidth="1" hidden="1" min="7" max="7" style="1366" width="7.57421875"/>
    <col customWidth="1" hidden="1" min="8" max="8" style="1366" width="11.421875"/>
    <col customWidth="1" hidden="1" min="9" max="9" style="1366" width="14.140625"/>
    <col customWidth="1" hidden="1" min="10" max="10" style="1366" width="9.8515625"/>
    <col customWidth="1" hidden="1" min="11" max="11" style="1366" width="14.7109375"/>
    <col customWidth="1" hidden="1" min="12" max="12" style="2607" width="19.140625"/>
    <col customWidth="1" hidden="1" min="13" max="14" style="1776" width="12.28125"/>
    <col customWidth="1" hidden="1" min="15" max="15" style="1776" width="23.421875"/>
    <col customWidth="1" min="16" max="16" style="2397" width="3.00390625"/>
    <col customWidth="1" min="17" max="18" style="344" width="3.00390625"/>
    <col customWidth="1" min="19" max="19" style="2407" width="12.00390625"/>
    <col customWidth="1" min="20" max="20" style="1635" width="35.00390625"/>
    <col customWidth="1" min="21" max="21" style="1635" width="0.140625"/>
    <col customWidth="1" hidden="1" min="22" max="24" style="1635" width="24.7109375"/>
    <col customWidth="1" hidden="1" min="25" max="25" style="1635" width="11.7109375"/>
    <col customWidth="1" hidden="1" min="26" max="26" style="1635" width="3.7109375"/>
    <col customWidth="1" hidden="1" min="27" max="27" style="1635" width="11.7109375"/>
    <col customWidth="1" hidden="1" min="28" max="28" style="1635" width="8.57421875"/>
    <col customWidth="1" min="29" max="29" style="1635" width="24.7109375"/>
    <col customWidth="1" min="30" max="31" style="1635" width="24.00390625"/>
    <col customWidth="1" min="32" max="32" style="1635" width="11.00390625"/>
    <col customWidth="1" min="33" max="33" style="1635" width="3.7109375"/>
    <col customWidth="1" min="34" max="34" style="1635" width="11.00390625"/>
    <col customWidth="1" hidden="1" min="35" max="35" style="1635" width="8.57421875"/>
    <col customWidth="1" min="36" max="36" style="1635" width="4.00390625"/>
    <col customWidth="1" min="37" max="37" style="1635" width="115.00390625"/>
    <col customWidth="1" min="38" max="42" style="1642" width="10.00390625"/>
    <col hidden="1" min="43" max="43" style="1635" width="10.57421875"/>
  </cols>
  <sheetData>
    <row r="1" ht="22.5" hidden="1" customHeight="1">
      <c r="X1" s="327"/>
      <c r="Y1" s="327"/>
      <c r="AE1" s="327"/>
      <c r="AF1" s="327"/>
      <c r="AQ1" s="1155" t="s">
        <v>14</v>
      </c>
    </row>
    <row r="2" ht="23.25" hidden="1" customHeight="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127</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 xml:space="preserve">Наименование тарифа</v>
      </c>
      <c r="AO2" s="500"/>
      <c r="AP2" s="500"/>
      <c r="AQ2" s="1155">
        <v>0</v>
      </c>
    </row>
    <row r="3" ht="23.25" hidden="1" customHeight="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399</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400</v>
      </c>
      <c r="AM3" s="500"/>
      <c r="AN3" s="500" t="str">
        <f>IF(T3="","",T3)</f>
        <v xml:space="preserve">Территория действия тарифа</v>
      </c>
      <c r="AO3" s="500"/>
      <c r="AP3" s="500"/>
      <c r="AQ3" s="1155">
        <v>0</v>
      </c>
    </row>
    <row r="4" ht="23.25" hidden="1" customHeight="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518</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519</v>
      </c>
      <c r="AM4" s="500"/>
      <c r="AN4" s="500" t="str">
        <f>IF(T4="","",T4)</f>
        <v xml:space="preserve">Наименование централизованной системы водоотведения</v>
      </c>
      <c r="AO4" s="500"/>
      <c r="AP4" s="500"/>
      <c r="AQ4" s="1155">
        <v>0</v>
      </c>
    </row>
    <row r="5" ht="23.25" hidden="1" customHeight="1">
      <c r="A5" s="1363"/>
      <c r="B5" s="1363"/>
      <c r="C5" s="1363"/>
      <c r="D5" s="1363"/>
      <c r="E5" s="2259"/>
      <c r="F5" s="2259"/>
      <c r="G5" s="2259"/>
      <c r="H5" s="2259"/>
      <c r="I5" s="2256">
        <f>S4&amp;".1"</f>
      </c>
      <c r="J5" s="1363"/>
      <c r="K5" s="1363"/>
      <c r="L5" s="1364"/>
      <c r="P5" s="2257">
        <v>1</v>
      </c>
      <c r="Q5" s="1481"/>
      <c r="R5" s="356"/>
      <c r="S5" s="1493">
        <f>$I5</f>
      </c>
      <c r="T5" s="285" t="s">
        <v>485</v>
      </c>
      <c r="U5" s="300"/>
      <c r="V5" s="2350"/>
      <c r="W5" s="2351"/>
      <c r="X5" s="2351"/>
      <c r="Y5" s="2351"/>
      <c r="Z5" s="2351"/>
      <c r="AA5" s="2351"/>
      <c r="AB5" s="2352"/>
      <c r="AC5" s="2353"/>
      <c r="AD5" s="2354"/>
      <c r="AE5" s="2354"/>
      <c r="AF5" s="2354"/>
      <c r="AG5" s="2354"/>
      <c r="AH5" s="2354"/>
      <c r="AI5" s="2354"/>
      <c r="AJ5" s="2355"/>
      <c r="AK5" s="1258" t="s">
        <v>486</v>
      </c>
      <c r="AM5" s="500"/>
      <c r="AN5" s="500" t="str">
        <f>IF(T5="","",T5)</f>
        <v xml:space="preserve">Наименование признака дифференциации</v>
      </c>
      <c r="AO5" s="500"/>
      <c r="AP5" s="500"/>
      <c r="AQ5" s="1155">
        <v>0</v>
      </c>
    </row>
    <row r="6" ht="23.25" hidden="1" customHeight="1">
      <c r="A6" s="1363"/>
      <c r="B6" s="1363"/>
      <c r="C6" s="1363"/>
      <c r="D6" s="1363"/>
      <c r="E6" s="2259"/>
      <c r="F6" s="2259"/>
      <c r="G6" s="2259"/>
      <c r="H6" s="2259"/>
      <c r="I6" s="2286"/>
      <c r="J6" s="2256">
        <f>I5&amp;".1"</f>
      </c>
      <c r="K6" s="1363"/>
      <c r="L6" s="1364" t="s">
        <v>408</v>
      </c>
      <c r="P6" s="2257"/>
      <c r="Q6" s="2257">
        <v>1</v>
      </c>
      <c r="R6" s="357"/>
      <c r="S6" s="1493">
        <f>$J6</f>
      </c>
      <c r="T6" s="286" t="s">
        <v>409</v>
      </c>
      <c r="U6" s="300"/>
      <c r="V6" s="2245"/>
      <c r="W6" s="2246"/>
      <c r="X6" s="2246"/>
      <c r="Y6" s="2246"/>
      <c r="Z6" s="2246"/>
      <c r="AA6" s="2246"/>
      <c r="AB6" s="2247"/>
      <c r="AC6" s="2245"/>
      <c r="AD6" s="2246"/>
      <c r="AE6" s="2246"/>
      <c r="AF6" s="2246"/>
      <c r="AG6" s="2246"/>
      <c r="AH6" s="2246"/>
      <c r="AI6" s="2246"/>
      <c r="AJ6" s="2247"/>
      <c r="AK6" s="1307" t="s">
        <v>487</v>
      </c>
      <c r="AM6" s="500"/>
      <c r="AN6" s="500" t="str">
        <f>IF(T6="","",T6)</f>
        <v xml:space="preserve">Группа потребителей</v>
      </c>
      <c r="AO6" s="500"/>
      <c r="AP6" s="500"/>
      <c r="AQ6" s="1155">
        <v>0</v>
      </c>
    </row>
    <row r="7" ht="23.25" hidden="1" customHeight="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r="8" ht="14.25" hidden="1" customHeight="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r="9" ht="21" hidden="1" customHeight="1">
      <c r="A9" s="1363"/>
      <c r="B9" s="1363"/>
      <c r="C9" s="1363"/>
      <c r="D9" s="1363"/>
      <c r="E9" s="2259"/>
      <c r="F9" s="2259"/>
      <c r="G9" s="2259"/>
      <c r="H9" s="2259"/>
      <c r="I9" s="2286"/>
      <c r="J9" s="2256"/>
      <c r="K9" s="1363"/>
      <c r="L9" s="1364"/>
      <c r="P9" s="2257"/>
      <c r="Q9" s="2257"/>
      <c r="R9" s="356"/>
      <c r="S9" s="1278"/>
      <c r="T9" s="287" t="s">
        <v>488</v>
      </c>
      <c r="U9" s="367"/>
      <c r="V9" s="367"/>
      <c r="W9" s="367"/>
      <c r="X9" s="367"/>
      <c r="Y9" s="367"/>
      <c r="Z9" s="367"/>
      <c r="AA9" s="367"/>
      <c r="AB9" s="367"/>
      <c r="AC9" s="367"/>
      <c r="AD9" s="367"/>
      <c r="AE9" s="367"/>
      <c r="AF9" s="367"/>
      <c r="AG9" s="367"/>
      <c r="AH9" s="367"/>
      <c r="AI9" s="367"/>
      <c r="AJ9" s="367"/>
      <c r="AK9" s="1258" t="s">
        <v>489</v>
      </c>
      <c r="AM9" s="500"/>
      <c r="AN9" s="500" t="str">
        <f>IF(T9="","",T9)</f>
        <v xml:space="preserve">Добавить значение признака дифференциации</v>
      </c>
      <c r="AO9" s="500"/>
      <c r="AP9" s="500"/>
      <c r="AQ9" s="1155">
        <v>0</v>
      </c>
    </row>
    <row r="10" ht="21" hidden="1" customHeight="1">
      <c r="A10" s="1363"/>
      <c r="B10" s="1363"/>
      <c r="C10" s="1363"/>
      <c r="D10" s="1363"/>
      <c r="E10" s="2259"/>
      <c r="F10" s="2259"/>
      <c r="G10" s="2259"/>
      <c r="H10" s="2259"/>
      <c r="I10" s="2256"/>
      <c r="J10" s="1363"/>
      <c r="K10" s="1363"/>
      <c r="L10" s="1364"/>
      <c r="P10" s="2257"/>
      <c r="Q10" s="1481"/>
      <c r="R10" s="356"/>
      <c r="S10" s="1278"/>
      <c r="T10" s="365" t="s">
        <v>414</v>
      </c>
      <c r="U10" s="367"/>
      <c r="V10" s="367"/>
      <c r="W10" s="367"/>
      <c r="X10" s="367"/>
      <c r="Y10" s="367"/>
      <c r="Z10" s="367"/>
      <c r="AA10" s="367"/>
      <c r="AB10" s="366"/>
      <c r="AC10" s="367"/>
      <c r="AD10" s="367"/>
      <c r="AE10" s="367"/>
      <c r="AF10" s="367"/>
      <c r="AG10" s="367"/>
      <c r="AH10" s="367"/>
      <c r="AI10" s="366"/>
      <c r="AJ10" s="367"/>
      <c r="AK10" s="1440"/>
      <c r="AM10" s="500"/>
      <c r="AN10" s="500" t="str">
        <f>IF(T10="","",T10)</f>
        <v xml:space="preserve">Добавить группу потребителей</v>
      </c>
      <c r="AO10" s="500"/>
      <c r="AP10" s="500"/>
      <c r="AQ10" s="1155">
        <v>0</v>
      </c>
    </row>
    <row r="11" ht="21" hidden="1" customHeight="1">
      <c r="A11" s="1363"/>
      <c r="B11" s="1363"/>
      <c r="C11" s="1363"/>
      <c r="D11" s="1363"/>
      <c r="E11" s="2259"/>
      <c r="F11" s="2259"/>
      <c r="G11" s="2259"/>
      <c r="H11" s="2258"/>
      <c r="I11" s="1363"/>
      <c r="J11" s="1363"/>
      <c r="K11" s="1363"/>
      <c r="L11" s="1364"/>
      <c r="M11" s="1365"/>
      <c r="N11" s="1365"/>
      <c r="O11" s="537"/>
      <c r="P11" s="360"/>
      <c r="Q11" s="375"/>
      <c r="R11" s="355"/>
      <c r="S11" s="1278"/>
      <c r="T11" s="372" t="s">
        <v>490</v>
      </c>
      <c r="U11" s="367"/>
      <c r="V11" s="367"/>
      <c r="W11" s="367"/>
      <c r="X11" s="367"/>
      <c r="Y11" s="367"/>
      <c r="Z11" s="367"/>
      <c r="AA11" s="367"/>
      <c r="AB11" s="366"/>
      <c r="AC11" s="367"/>
      <c r="AD11" s="367"/>
      <c r="AE11" s="367"/>
      <c r="AF11" s="367"/>
      <c r="AG11" s="367"/>
      <c r="AH11" s="367"/>
      <c r="AI11" s="366"/>
      <c r="AJ11" s="367"/>
      <c r="AK11" s="303"/>
      <c r="AM11" s="500"/>
      <c r="AN11" s="500" t="str">
        <f>IF(T11="","",T11)</f>
        <v xml:space="preserve">Добавить наименование признака дифференциации</v>
      </c>
      <c r="AO11" s="500"/>
      <c r="AP11" s="500"/>
      <c r="AQ11" s="1155">
        <v>0</v>
      </c>
    </row>
    <row r="12" s="1642" customFormat="1" ht="14.25" hidden="1" customHeight="1">
      <c r="A12" s="1343"/>
      <c r="B12" s="1343"/>
      <c r="C12" s="1314"/>
      <c r="D12" s="1314"/>
      <c r="E12" s="2259"/>
      <c r="F12" s="2258"/>
      <c r="G12" s="1314"/>
      <c r="H12" s="1314"/>
      <c r="I12" s="1314"/>
      <c r="J12" s="1314"/>
      <c r="K12" s="1314"/>
      <c r="L12" s="1494"/>
      <c r="M12" s="1321"/>
      <c r="N12" s="1321"/>
      <c r="P12" s="1316"/>
      <c r="Q12" s="1317"/>
      <c r="R12" s="1316"/>
      <c r="S12" s="1322"/>
      <c r="T12" s="1325" t="s">
        <v>417</v>
      </c>
      <c r="U12" s="1324"/>
      <c r="V12" s="1324"/>
      <c r="W12" s="1324"/>
      <c r="X12" s="1324"/>
      <c r="Y12" s="1324"/>
      <c r="Z12" s="1324"/>
      <c r="AA12" s="1324"/>
      <c r="AB12" s="1324"/>
      <c r="AC12" s="1324"/>
      <c r="AD12" s="1324"/>
      <c r="AE12" s="1324"/>
      <c r="AF12" s="1324"/>
      <c r="AG12" s="1324"/>
      <c r="AH12" s="1324"/>
      <c r="AI12" s="1324"/>
      <c r="AJ12" s="1324"/>
      <c r="AK12" s="1324"/>
      <c r="AM12" s="789"/>
      <c r="AN12" s="789" t="str">
        <f>IF(T12="","",T12)</f>
        <v xml:space="preserve">Добавить централизованную систему для дифференциации</v>
      </c>
      <c r="AO12" s="789"/>
      <c r="AP12" s="789"/>
      <c r="AQ12" s="518">
        <v>0</v>
      </c>
    </row>
    <row r="13" s="1642" customFormat="1" ht="14.25" hidden="1" customHeight="1">
      <c r="A13" s="1343"/>
      <c r="B13" s="1343"/>
      <c r="C13" s="1343"/>
      <c r="D13" s="1343"/>
      <c r="E13" s="2258"/>
      <c r="F13" s="1343"/>
      <c r="G13" s="1343"/>
      <c r="H13" s="1343"/>
      <c r="I13" s="1343"/>
      <c r="J13" s="1343"/>
      <c r="K13" s="1343"/>
      <c r="L13" s="1346"/>
      <c r="M13" s="1321"/>
      <c r="N13" s="1321"/>
      <c r="O13" s="518"/>
      <c r="P13" s="380"/>
      <c r="Q13" s="1344"/>
      <c r="R13" s="380"/>
      <c r="S13" s="1322"/>
      <c r="T13" s="1325" t="s">
        <v>418</v>
      </c>
      <c r="U13" s="1324"/>
      <c r="V13" s="1324"/>
      <c r="W13" s="1324"/>
      <c r="X13" s="1324"/>
      <c r="Y13" s="1324"/>
      <c r="Z13" s="1324"/>
      <c r="AA13" s="1324"/>
      <c r="AB13" s="1324"/>
      <c r="AC13" s="1324"/>
      <c r="AD13" s="1324"/>
      <c r="AE13" s="1324"/>
      <c r="AF13" s="1324"/>
      <c r="AG13" s="1324"/>
      <c r="AH13" s="1324"/>
      <c r="AI13" s="1324"/>
      <c r="AJ13" s="1324"/>
      <c r="AK13" s="1324"/>
      <c r="AM13" s="500"/>
      <c r="AN13" s="500" t="str">
        <f>IF(T13="","",T13)</f>
        <v xml:space="preserve">Добавить территорию для дифференциации</v>
      </c>
      <c r="AO13" s="500"/>
      <c r="AP13" s="500"/>
      <c r="AQ13" s="511">
        <v>0</v>
      </c>
    </row>
    <row r="14" ht="14.25" hidden="1" customHeight="1">
      <c r="AB14" s="327"/>
      <c r="AI14" s="327"/>
      <c r="AQ14" s="1155">
        <v>0</v>
      </c>
    </row>
    <row r="15" ht="14.25" hidden="1" customHeight="1">
      <c r="AC15" s="1360"/>
      <c r="AD15" s="1360"/>
      <c r="AE15" s="1361"/>
      <c r="AF15" s="2267"/>
      <c r="AG15" s="2268" t="s">
        <v>65</v>
      </c>
      <c r="AH15" s="2267"/>
      <c r="AI15" s="2268" t="s">
        <v>65</v>
      </c>
      <c r="AQ15" s="1155">
        <v>0</v>
      </c>
    </row>
    <row r="16" ht="14.25" hidden="1" customHeight="1">
      <c r="AC16" s="1360"/>
      <c r="AD16" s="1360"/>
      <c r="AE16" s="328" t="str">
        <f>AF15&amp;"-"&amp;AH15</f>
        <v>-</v>
      </c>
      <c r="AF16" s="2268"/>
      <c r="AG16" s="2268"/>
      <c r="AH16" s="2268"/>
      <c r="AI16" s="2268"/>
      <c r="AQ16" s="1155">
        <v>0</v>
      </c>
    </row>
    <row r="17" ht="14.25" hidden="1" customHeight="1">
      <c r="AI17" s="327"/>
      <c r="AQ17" s="1155">
        <v>0</v>
      </c>
    </row>
    <row r="18" s="1366" customFormat="1" ht="22.5" hidden="1" customHeight="1">
      <c r="L18" s="1478"/>
      <c r="M18" s="1362"/>
      <c r="N18" s="1362"/>
      <c r="O18" s="1367" t="s">
        <v>419</v>
      </c>
      <c r="P18" s="1362"/>
      <c r="Q18" s="1371"/>
      <c r="R18" s="1371"/>
      <c r="S18" s="729"/>
      <c r="Y18" s="1367"/>
      <c r="AA18" s="1367"/>
      <c r="AB18" s="1366"/>
      <c r="AF18" s="1367"/>
      <c r="AH18" s="1367"/>
      <c r="AI18" s="1366"/>
      <c r="AL18" s="511"/>
      <c r="AM18" s="511"/>
      <c r="AN18" s="511"/>
      <c r="AO18" s="511"/>
      <c r="AP18" s="511"/>
      <c r="AQ18" s="1160">
        <v>0</v>
      </c>
    </row>
    <row r="19" s="1366" customFormat="1" ht="14.25" hidden="1" customHeight="1">
      <c r="L19" s="1478"/>
      <c r="M19" s="1362"/>
      <c r="N19" s="1362"/>
      <c r="O19" s="1362"/>
      <c r="P19" s="1362"/>
      <c r="Q19" s="1371"/>
      <c r="R19" s="1371"/>
      <c r="S19" s="729"/>
      <c r="AB19" s="1366"/>
      <c r="AI19" s="1366"/>
      <c r="AL19" s="511"/>
      <c r="AM19" s="511"/>
      <c r="AN19" s="511"/>
      <c r="AO19" s="511"/>
      <c r="AP19" s="511"/>
      <c r="AQ19" s="1160">
        <v>0</v>
      </c>
    </row>
    <row r="20" s="1366" customFormat="1" ht="12" hidden="1" customHeight="1">
      <c r="L20" s="1478"/>
      <c r="M20" s="1362"/>
      <c r="N20" s="1362"/>
      <c r="O20" s="1364" t="s">
        <v>420</v>
      </c>
      <c r="P20" s="1362"/>
      <c r="Q20" s="1442"/>
      <c r="R20" s="1442"/>
      <c r="S20" s="729"/>
      <c r="T20" s="1160" t="s">
        <v>421</v>
      </c>
      <c r="Z20" s="186" t="s">
        <v>422</v>
      </c>
      <c r="AB20" s="186" t="s">
        <v>423</v>
      </c>
      <c r="AC20" s="1160" t="s">
        <v>421</v>
      </c>
      <c r="AG20" s="186" t="s">
        <v>424</v>
      </c>
      <c r="AI20" s="186" t="s">
        <v>423</v>
      </c>
      <c r="AQ20" s="1160">
        <v>0</v>
      </c>
    </row>
    <row r="21" ht="14.25" hidden="1" customHeight="1">
      <c r="O21" s="1364"/>
      <c r="AQ21" s="1155">
        <v>0</v>
      </c>
    </row>
    <row r="22" ht="14.25" hidden="1" customHeight="1">
      <c r="O22" s="1364"/>
      <c r="AQ22" s="1155">
        <v>0</v>
      </c>
    </row>
    <row r="23" ht="14.65" customHeight="1">
      <c r="Q23" s="376"/>
      <c r="R23" s="376"/>
      <c r="S23" s="1275"/>
      <c r="T23" s="363"/>
      <c r="U23" s="363"/>
      <c r="V23" s="509"/>
      <c r="W23" s="509"/>
      <c r="X23" s="509"/>
      <c r="Y23" s="509"/>
      <c r="Z23" s="509"/>
      <c r="AA23" s="509"/>
      <c r="AB23" s="509"/>
      <c r="AC23" s="509"/>
      <c r="AD23" s="509"/>
      <c r="AE23" s="509"/>
      <c r="AF23" s="509"/>
      <c r="AG23" s="509"/>
      <c r="AH23" s="509"/>
      <c r="AI23" s="509"/>
      <c r="AQ23" s="1155">
        <v>14</v>
      </c>
    </row>
    <row r="24" ht="14.65" customHeight="1">
      <c r="Q24" s="376"/>
      <c r="R24" s="376"/>
      <c r="S24" s="2248" t="str">
        <f>IF(TEMPLATE_GROUP="P",PT_P_FORM_VOTV_4_NAME_FORM,PT_R_FORM_VOTV_16_NAME_FORM)</f>
        <v xml:space="preserve">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r="25" ht="14.65" customHeight="1">
      <c r="Q25" s="376"/>
      <c r="R25" s="376"/>
      <c r="S25" s="2249" t="str">
        <f>IF(org=0,"Не определено",org)</f>
        <v xml:space="preserve">филиал ПАО "ОГК-2" - Рязанская ГРЭС</v>
      </c>
      <c r="T25" s="2249"/>
      <c r="U25" s="2249"/>
      <c r="V25" s="2249"/>
      <c r="W25" s="2249"/>
      <c r="X25" s="2249"/>
      <c r="Y25" s="2249"/>
      <c r="Z25" s="2249"/>
      <c r="AA25" s="2249"/>
      <c r="AB25" s="2249"/>
      <c r="AC25" s="2249"/>
      <c r="AD25" s="2249"/>
      <c r="AE25" s="2249"/>
      <c r="AF25" s="2249"/>
      <c r="AG25" s="2249"/>
      <c r="AH25" s="2249"/>
      <c r="AI25" s="1243"/>
      <c r="AQ25" s="1155">
        <v>14</v>
      </c>
    </row>
    <row r="26" ht="14.25" hidden="1" customHeight="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r="27" s="1853" customFormat="1" ht="25.5" hidden="1" customHeight="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r="28" s="1853" customFormat="1" ht="18.75" hidden="1" customHeight="1">
      <c r="A28" s="1368"/>
      <c r="B28" s="1368"/>
      <c r="C28" s="1368"/>
      <c r="D28" s="1368"/>
      <c r="E28" s="1368"/>
      <c r="F28" s="1368"/>
      <c r="G28" s="1368"/>
      <c r="H28" s="1368"/>
      <c r="I28" s="1368"/>
      <c r="J28" s="1368"/>
      <c r="K28" s="1368"/>
      <c r="L28" s="1369"/>
      <c r="M28" s="1368"/>
      <c r="N28" s="1368"/>
      <c r="O28" s="1368"/>
      <c r="S28" s="2250" t="s">
        <v>425</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r="29" s="1853" customFormat="1" ht="18.75" hidden="1" customHeight="1">
      <c r="A29" s="1368"/>
      <c r="B29" s="1368"/>
      <c r="C29" s="1368"/>
      <c r="D29" s="1368"/>
      <c r="E29" s="1368"/>
      <c r="F29" s="1368"/>
      <c r="G29" s="1368"/>
      <c r="H29" s="1368"/>
      <c r="I29" s="1368"/>
      <c r="J29" s="1368"/>
      <c r="K29" s="1368"/>
      <c r="L29" s="1369"/>
      <c r="M29" s="1368"/>
      <c r="N29" s="1368"/>
      <c r="O29" s="1368"/>
      <c r="S29" s="2250" t="s">
        <v>426</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r="30" s="1853" customFormat="1" ht="18.75" hidden="1" customHeight="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r="31" ht="14.25" hidden="1" customHeight="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r="32" s="1853" customFormat="1" ht="18.75" hidden="1" customHeight="1">
      <c r="A32" s="1368"/>
      <c r="B32" s="1368"/>
      <c r="C32" s="1368"/>
      <c r="D32" s="1368"/>
      <c r="E32" s="1368"/>
      <c r="F32" s="1368"/>
      <c r="G32" s="1368"/>
      <c r="H32" s="1368"/>
      <c r="I32" s="1368"/>
      <c r="J32" s="1368"/>
      <c r="K32" s="1368"/>
      <c r="L32" s="1369"/>
      <c r="M32" s="1368"/>
      <c r="N32" s="1368"/>
      <c r="O32" s="1368"/>
      <c r="S32" s="2250" t="s">
        <v>427</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r="33" s="1853" customFormat="1" ht="18.75" hidden="1" customHeight="1">
      <c r="A33" s="1368"/>
      <c r="B33" s="1368"/>
      <c r="C33" s="1368"/>
      <c r="D33" s="1368"/>
      <c r="E33" s="1368"/>
      <c r="F33" s="1368"/>
      <c r="G33" s="1368"/>
      <c r="H33" s="1368"/>
      <c r="I33" s="1368"/>
      <c r="J33" s="1368"/>
      <c r="K33" s="1368"/>
      <c r="L33" s="1369"/>
      <c r="M33" s="1368"/>
      <c r="N33" s="1368"/>
      <c r="O33" s="1368"/>
      <c r="S33" s="2250" t="s">
        <v>428</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r="34" s="1853" customFormat="1" ht="1.05" customHeight="1">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429</v>
      </c>
      <c r="AC34" s="326"/>
      <c r="AD34" s="326"/>
      <c r="AE34" s="326"/>
      <c r="AF34" s="326"/>
      <c r="AG34" s="326"/>
      <c r="AH34" s="326"/>
      <c r="AI34" s="278" t="s">
        <v>429</v>
      </c>
      <c r="AL34" s="368"/>
      <c r="AM34" s="368"/>
      <c r="AN34" s="368"/>
      <c r="AO34" s="368"/>
      <c r="AP34" s="368"/>
      <c r="AQ34" s="418">
        <v>1</v>
      </c>
    </row>
    <row r="35" ht="14.65" customHeight="1">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r="36" ht="14.65" customHeight="1">
      <c r="Q36" s="376"/>
      <c r="R36" s="376"/>
      <c r="S36" s="2127" t="s">
        <v>302</v>
      </c>
      <c r="T36" s="2127"/>
      <c r="U36" s="2127"/>
      <c r="V36" s="2127"/>
      <c r="W36" s="2127"/>
      <c r="X36" s="2127"/>
      <c r="Y36" s="2127"/>
      <c r="Z36" s="2127"/>
      <c r="AA36" s="2127"/>
      <c r="AB36" s="2127"/>
      <c r="AC36" s="2127"/>
      <c r="AD36" s="2127"/>
      <c r="AE36" s="2127"/>
      <c r="AF36" s="2127"/>
      <c r="AG36" s="2127"/>
      <c r="AH36" s="2127"/>
      <c r="AI36" s="2127"/>
      <c r="AJ36" s="2127"/>
      <c r="AK36" s="2127" t="s">
        <v>303</v>
      </c>
      <c r="AQ36" s="1155">
        <v>14</v>
      </c>
    </row>
    <row r="37" ht="14.65" customHeight="1">
      <c r="Q37" s="376"/>
      <c r="R37" s="376"/>
      <c r="S37" s="2273" t="s">
        <v>87</v>
      </c>
      <c r="T37" s="2209" t="s">
        <v>430</v>
      </c>
      <c r="U37" s="301"/>
      <c r="V37" s="2274" t="s">
        <v>431</v>
      </c>
      <c r="W37" s="2275"/>
      <c r="X37" s="2275"/>
      <c r="Y37" s="2275"/>
      <c r="Z37" s="2275"/>
      <c r="AA37" s="2276"/>
      <c r="AB37" s="2277" t="s">
        <v>432</v>
      </c>
      <c r="AC37" s="2274" t="s">
        <v>431</v>
      </c>
      <c r="AD37" s="2275"/>
      <c r="AE37" s="2275"/>
      <c r="AF37" s="2275"/>
      <c r="AG37" s="2275"/>
      <c r="AH37" s="2276"/>
      <c r="AI37" s="2277" t="s">
        <v>433</v>
      </c>
      <c r="AJ37" s="2280" t="s">
        <v>434</v>
      </c>
      <c r="AK37" s="2127"/>
      <c r="AQ37" s="1155">
        <v>14</v>
      </c>
    </row>
    <row r="38" ht="35.649999999999999" customHeight="1">
      <c r="Q38" s="376"/>
      <c r="R38" s="376"/>
      <c r="S38" s="2273"/>
      <c r="T38" s="2209"/>
      <c r="U38" s="1031"/>
      <c r="V38" s="1483" t="s">
        <v>491</v>
      </c>
      <c r="W38" s="2262" t="s">
        <v>437</v>
      </c>
      <c r="X38" s="2263"/>
      <c r="Y38" s="2262" t="s">
        <v>438</v>
      </c>
      <c r="Z38" s="2269"/>
      <c r="AA38" s="2263"/>
      <c r="AB38" s="2278"/>
      <c r="AC38" s="1483" t="s">
        <v>491</v>
      </c>
      <c r="AD38" s="2262" t="s">
        <v>437</v>
      </c>
      <c r="AE38" s="2263"/>
      <c r="AF38" s="2262" t="s">
        <v>438</v>
      </c>
      <c r="AG38" s="2269"/>
      <c r="AH38" s="2263"/>
      <c r="AI38" s="2278"/>
      <c r="AJ38" s="2281"/>
      <c r="AK38" s="2127"/>
      <c r="AQ38" s="1155">
        <v>34</v>
      </c>
    </row>
    <row r="39" ht="90.299999999999997" customHeight="1">
      <c r="A39" s="1370"/>
      <c r="B39" s="1370" t="s">
        <v>139</v>
      </c>
      <c r="C39" s="1370" t="s">
        <v>140</v>
      </c>
      <c r="D39" s="1370" t="s">
        <v>141</v>
      </c>
      <c r="E39" s="1364" t="s">
        <v>439</v>
      </c>
      <c r="F39" s="1364" t="s">
        <v>440</v>
      </c>
      <c r="G39" s="1364" t="s">
        <v>441</v>
      </c>
      <c r="H39" s="1364"/>
      <c r="I39" s="1364" t="s">
        <v>492</v>
      </c>
      <c r="J39" s="1364" t="s">
        <v>444</v>
      </c>
      <c r="K39" s="1364" t="s">
        <v>493</v>
      </c>
      <c r="L39" s="1364" t="s">
        <v>420</v>
      </c>
      <c r="Q39" s="376"/>
      <c r="R39" s="376"/>
      <c r="S39" s="2273"/>
      <c r="T39" s="2209"/>
      <c r="U39" s="302"/>
      <c r="V39" s="1483" t="s">
        <v>520</v>
      </c>
      <c r="W39" s="1222" t="s">
        <v>521</v>
      </c>
      <c r="X39" s="1222" t="s">
        <v>496</v>
      </c>
      <c r="Y39" s="1489" t="s">
        <v>448</v>
      </c>
      <c r="Z39" s="2270" t="s">
        <v>449</v>
      </c>
      <c r="AA39" s="2271"/>
      <c r="AB39" s="2279"/>
      <c r="AC39" s="1483" t="s">
        <v>520</v>
      </c>
      <c r="AD39" s="1222" t="s">
        <v>521</v>
      </c>
      <c r="AE39" s="1222" t="s">
        <v>496</v>
      </c>
      <c r="AF39" s="1489" t="s">
        <v>448</v>
      </c>
      <c r="AG39" s="2270" t="s">
        <v>449</v>
      </c>
      <c r="AH39" s="2271"/>
      <c r="AI39" s="2279"/>
      <c r="AJ39" s="2282"/>
      <c r="AK39" s="2127"/>
      <c r="AQ39" s="1155">
        <v>86</v>
      </c>
    </row>
    <row r="40" s="1641" customFormat="1" ht="0" customHeight="1">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r="41" ht="24" customHeight="1">
      <c r="A41" s="1363" t="s">
        <v>273</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127</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 xml:space="preserve">Наименование тарифа</v>
      </c>
      <c r="AO41" s="500"/>
      <c r="AP41" s="500"/>
      <c r="AQ41" s="1155">
        <v>23</v>
      </c>
    </row>
    <row r="42" ht="24" customHeight="1">
      <c r="A42" s="1363" t="s">
        <v>273</v>
      </c>
      <c r="B42" s="1363" t="s">
        <v>274</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399</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400</v>
      </c>
      <c r="AM42" s="500"/>
      <c r="AN42" s="500" t="str">
        <f>IF(T42="","",T42)</f>
        <v xml:space="preserve">Территория действия тарифа</v>
      </c>
      <c r="AO42" s="500"/>
      <c r="AP42" s="500"/>
      <c r="AQ42" s="1155">
        <v>23</v>
      </c>
    </row>
    <row r="43" ht="24" customHeight="1">
      <c r="A43" s="1363" t="s">
        <v>273</v>
      </c>
      <c r="B43" s="1363" t="s">
        <v>274</v>
      </c>
      <c r="C43" s="1363" t="s">
        <v>275</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518</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519</v>
      </c>
      <c r="AM43" s="500"/>
      <c r="AN43" s="500" t="str">
        <f>IF(T43="","",T43)</f>
        <v xml:space="preserve">Наименование централизованной системы водоотведения</v>
      </c>
      <c r="AO43" s="500"/>
      <c r="AP43" s="500"/>
      <c r="AQ43" s="1155">
        <v>23</v>
      </c>
    </row>
    <row r="44" ht="24" customHeight="1">
      <c r="A44" s="1363" t="s">
        <v>273</v>
      </c>
      <c r="B44" s="1363" t="s">
        <v>274</v>
      </c>
      <c r="C44" s="1363" t="s">
        <v>275</v>
      </c>
      <c r="D44" s="1363" t="s">
        <v>523</v>
      </c>
      <c r="E44" s="2259"/>
      <c r="F44" s="2259"/>
      <c r="G44" s="2259"/>
      <c r="H44" s="2259"/>
      <c r="I44" s="2256" t="str">
        <f>S43&amp;".1"</f>
        <v>...1</v>
      </c>
      <c r="J44" s="1363"/>
      <c r="K44" s="1363"/>
      <c r="L44" s="1364"/>
      <c r="P44" s="2257">
        <v>1</v>
      </c>
      <c r="Q44" s="1481"/>
      <c r="R44" s="356"/>
      <c r="S44" s="1493" t="str">
        <f>$I44</f>
        <v>...1</v>
      </c>
      <c r="T44" s="285" t="s">
        <v>485</v>
      </c>
      <c r="U44" s="300"/>
      <c r="V44" s="2350"/>
      <c r="W44" s="2351"/>
      <c r="X44" s="2351"/>
      <c r="Y44" s="2351"/>
      <c r="Z44" s="2351"/>
      <c r="AA44" s="2351"/>
      <c r="AB44" s="2352"/>
      <c r="AC44" s="2353"/>
      <c r="AD44" s="2354"/>
      <c r="AE44" s="2354"/>
      <c r="AF44" s="2354"/>
      <c r="AG44" s="2354"/>
      <c r="AH44" s="2354"/>
      <c r="AI44" s="2354"/>
      <c r="AJ44" s="2355"/>
      <c r="AK44" s="1258" t="s">
        <v>486</v>
      </c>
      <c r="AM44" s="500"/>
      <c r="AN44" s="500" t="str">
        <f>IF(T44="","",T44)</f>
        <v xml:space="preserve">Наименование признака дифференциации</v>
      </c>
      <c r="AO44" s="500"/>
      <c r="AP44" s="500"/>
      <c r="AQ44" s="1155">
        <v>23</v>
      </c>
    </row>
    <row r="45" ht="24" customHeight="1">
      <c r="A45" s="1363" t="s">
        <v>273</v>
      </c>
      <c r="B45" s="1363" t="s">
        <v>274</v>
      </c>
      <c r="C45" s="1363" t="s">
        <v>275</v>
      </c>
      <c r="D45" s="1363" t="s">
        <v>523</v>
      </c>
      <c r="E45" s="2259"/>
      <c r="F45" s="2259"/>
      <c r="G45" s="2259"/>
      <c r="H45" s="2259"/>
      <c r="I45" s="2286"/>
      <c r="J45" s="2256" t="str">
        <f>I44&amp;".1"</f>
        <v>...1.1</v>
      </c>
      <c r="K45" s="1363"/>
      <c r="L45" s="1364" t="s">
        <v>408</v>
      </c>
      <c r="P45" s="2257"/>
      <c r="Q45" s="2257">
        <v>1</v>
      </c>
      <c r="R45" s="357"/>
      <c r="S45" s="1493" t="str">
        <f>$J45</f>
        <v>...1.1</v>
      </c>
      <c r="T45" s="286" t="s">
        <v>409</v>
      </c>
      <c r="U45" s="300"/>
      <c r="V45" s="2245"/>
      <c r="W45" s="2246"/>
      <c r="X45" s="2246"/>
      <c r="Y45" s="2246"/>
      <c r="Z45" s="2246"/>
      <c r="AA45" s="2246"/>
      <c r="AB45" s="2247"/>
      <c r="AC45" s="2245"/>
      <c r="AD45" s="2246"/>
      <c r="AE45" s="2246"/>
      <c r="AF45" s="2246"/>
      <c r="AG45" s="2246"/>
      <c r="AH45" s="2246"/>
      <c r="AI45" s="2246"/>
      <c r="AJ45" s="2247"/>
      <c r="AK45" s="1307" t="s">
        <v>487</v>
      </c>
      <c r="AM45" s="500"/>
      <c r="AN45" s="500" t="str">
        <f>IF(T45="","",T45)</f>
        <v xml:space="preserve">Группа потребителей</v>
      </c>
      <c r="AO45" s="500"/>
      <c r="AP45" s="500"/>
      <c r="AQ45" s="1155">
        <v>23</v>
      </c>
    </row>
    <row r="46" ht="24" customHeight="1">
      <c r="A46" s="1363" t="s">
        <v>273</v>
      </c>
      <c r="B46" s="1363" t="s">
        <v>274</v>
      </c>
      <c r="C46" s="1363" t="s">
        <v>275</v>
      </c>
      <c r="D46" s="1363" t="s">
        <v>523</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r="47" ht="0" customHeight="1">
      <c r="A47" s="1363" t="s">
        <v>273</v>
      </c>
      <c r="B47" s="1363" t="s">
        <v>274</v>
      </c>
      <c r="C47" s="1363" t="s">
        <v>275</v>
      </c>
      <c r="D47" s="1363" t="s">
        <v>523</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r="48" ht="21" customHeight="1">
      <c r="A48" s="1363" t="s">
        <v>273</v>
      </c>
      <c r="B48" s="1363" t="s">
        <v>274</v>
      </c>
      <c r="C48" s="1363" t="s">
        <v>275</v>
      </c>
      <c r="D48" s="1363" t="s">
        <v>523</v>
      </c>
      <c r="E48" s="2259"/>
      <c r="F48" s="2259"/>
      <c r="G48" s="2259"/>
      <c r="H48" s="2259"/>
      <c r="I48" s="2286"/>
      <c r="J48" s="2256"/>
      <c r="K48" s="1363"/>
      <c r="L48" s="1364"/>
      <c r="P48" s="2257"/>
      <c r="Q48" s="2257"/>
      <c r="R48" s="356"/>
      <c r="S48" s="1278"/>
      <c r="T48" s="287" t="s">
        <v>488</v>
      </c>
      <c r="U48" s="367"/>
      <c r="V48" s="367"/>
      <c r="W48" s="367"/>
      <c r="X48" s="367"/>
      <c r="Y48" s="367"/>
      <c r="Z48" s="367"/>
      <c r="AA48" s="367"/>
      <c r="AB48" s="367"/>
      <c r="AC48" s="367"/>
      <c r="AD48" s="367"/>
      <c r="AE48" s="367"/>
      <c r="AF48" s="367"/>
      <c r="AG48" s="367"/>
      <c r="AH48" s="367"/>
      <c r="AI48" s="367"/>
      <c r="AJ48" s="367"/>
      <c r="AK48" s="1258" t="s">
        <v>489</v>
      </c>
      <c r="AM48" s="500"/>
      <c r="AN48" s="500" t="str">
        <f>IF(T48="","",T48)</f>
        <v xml:space="preserve">Добавить значение признака дифференциации</v>
      </c>
      <c r="AO48" s="500"/>
      <c r="AP48" s="500"/>
      <c r="AQ48" s="1155">
        <v>20</v>
      </c>
    </row>
    <row r="49" ht="22" customHeight="1">
      <c r="A49" s="1363" t="s">
        <v>273</v>
      </c>
      <c r="B49" s="1363" t="s">
        <v>274</v>
      </c>
      <c r="C49" s="1363" t="s">
        <v>275</v>
      </c>
      <c r="D49" s="1363" t="s">
        <v>523</v>
      </c>
      <c r="E49" s="2259"/>
      <c r="F49" s="2259"/>
      <c r="G49" s="2259"/>
      <c r="H49" s="2259"/>
      <c r="I49" s="2256"/>
      <c r="J49" s="1363"/>
      <c r="K49" s="1363"/>
      <c r="L49" s="1364"/>
      <c r="P49" s="2257"/>
      <c r="Q49" s="1481"/>
      <c r="R49" s="356"/>
      <c r="S49" s="1278"/>
      <c r="T49" s="365" t="s">
        <v>414</v>
      </c>
      <c r="U49" s="367"/>
      <c r="V49" s="367"/>
      <c r="W49" s="367"/>
      <c r="X49" s="367"/>
      <c r="Y49" s="367"/>
      <c r="Z49" s="367"/>
      <c r="AA49" s="367"/>
      <c r="AB49" s="366"/>
      <c r="AC49" s="367"/>
      <c r="AD49" s="367"/>
      <c r="AE49" s="367"/>
      <c r="AF49" s="367"/>
      <c r="AG49" s="367"/>
      <c r="AH49" s="367"/>
      <c r="AI49" s="366"/>
      <c r="AJ49" s="367"/>
      <c r="AK49" s="1440"/>
      <c r="AM49" s="500"/>
      <c r="AN49" s="500" t="str">
        <f>IF(T49="","",T49)</f>
        <v xml:space="preserve">Добавить группу потребителей</v>
      </c>
      <c r="AO49" s="500"/>
      <c r="AP49" s="500"/>
      <c r="AQ49" s="1155">
        <v>21</v>
      </c>
    </row>
    <row r="50" ht="22" customHeight="1">
      <c r="A50" s="1363" t="s">
        <v>273</v>
      </c>
      <c r="B50" s="1363" t="s">
        <v>274</v>
      </c>
      <c r="C50" s="1363" t="s">
        <v>275</v>
      </c>
      <c r="D50" s="1363" t="s">
        <v>523</v>
      </c>
      <c r="E50" s="2259"/>
      <c r="F50" s="2259"/>
      <c r="G50" s="2259"/>
      <c r="H50" s="2258"/>
      <c r="I50" s="1363"/>
      <c r="J50" s="1363"/>
      <c r="K50" s="1363"/>
      <c r="L50" s="1364"/>
      <c r="M50" s="1365"/>
      <c r="N50" s="1365"/>
      <c r="O50" s="537"/>
      <c r="P50" s="360"/>
      <c r="Q50" s="375"/>
      <c r="R50" s="355"/>
      <c r="S50" s="1278"/>
      <c r="T50" s="372" t="s">
        <v>490</v>
      </c>
      <c r="U50" s="367"/>
      <c r="V50" s="367"/>
      <c r="W50" s="367"/>
      <c r="X50" s="367"/>
      <c r="Y50" s="367"/>
      <c r="Z50" s="367"/>
      <c r="AA50" s="367"/>
      <c r="AB50" s="366"/>
      <c r="AC50" s="367"/>
      <c r="AD50" s="367"/>
      <c r="AE50" s="367"/>
      <c r="AF50" s="367"/>
      <c r="AG50" s="367"/>
      <c r="AH50" s="367"/>
      <c r="AI50" s="366"/>
      <c r="AJ50" s="367"/>
      <c r="AK50" s="303"/>
      <c r="AM50" s="500"/>
      <c r="AN50" s="500" t="str">
        <f>IF(T50="","",T50)</f>
        <v xml:space="preserve">Добавить наименование признака дифференциации</v>
      </c>
      <c r="AO50" s="500"/>
      <c r="AP50" s="500"/>
      <c r="AQ50" s="1155">
        <v>21</v>
      </c>
    </row>
    <row r="51" s="1642" customFormat="1" ht="0" customHeight="1">
      <c r="A51" s="1343" t="s">
        <v>273</v>
      </c>
      <c r="B51" s="1343" t="s">
        <v>274</v>
      </c>
      <c r="C51" s="1314"/>
      <c r="D51" s="1314"/>
      <c r="E51" s="2259"/>
      <c r="F51" s="2258"/>
      <c r="G51" s="1314"/>
      <c r="H51" s="1314"/>
      <c r="I51" s="1314"/>
      <c r="J51" s="1314"/>
      <c r="K51" s="1314"/>
      <c r="L51" s="1494"/>
      <c r="M51" s="1321"/>
      <c r="N51" s="1321"/>
      <c r="P51" s="1316"/>
      <c r="Q51" s="1317"/>
      <c r="R51" s="1316"/>
      <c r="S51" s="1322"/>
      <c r="T51" s="1325" t="s">
        <v>417</v>
      </c>
      <c r="U51" s="1324"/>
      <c r="V51" s="1324"/>
      <c r="W51" s="1324"/>
      <c r="X51" s="1324"/>
      <c r="Y51" s="1324"/>
      <c r="Z51" s="1324"/>
      <c r="AA51" s="1324"/>
      <c r="AB51" s="1324"/>
      <c r="AC51" s="1324"/>
      <c r="AD51" s="1324"/>
      <c r="AE51" s="1324"/>
      <c r="AF51" s="1324"/>
      <c r="AG51" s="1324"/>
      <c r="AH51" s="1324"/>
      <c r="AI51" s="1324"/>
      <c r="AJ51" s="1324"/>
      <c r="AK51" s="1324"/>
      <c r="AM51" s="789"/>
      <c r="AN51" s="789" t="str">
        <f>IF(T51="","",T51)</f>
        <v xml:space="preserve">Добавить централизованную систему для дифференциации</v>
      </c>
      <c r="AO51" s="789"/>
      <c r="AP51" s="789"/>
      <c r="AQ51" s="518">
        <v>0</v>
      </c>
    </row>
    <row r="52" s="1642" customFormat="1" ht="0" customHeight="1">
      <c r="A52" s="1343" t="s">
        <v>273</v>
      </c>
      <c r="B52" s="1343"/>
      <c r="C52" s="1343"/>
      <c r="D52" s="1343"/>
      <c r="E52" s="2258"/>
      <c r="F52" s="1343"/>
      <c r="G52" s="1343"/>
      <c r="H52" s="1343"/>
      <c r="I52" s="1343"/>
      <c r="J52" s="1343"/>
      <c r="K52" s="1343"/>
      <c r="L52" s="1346"/>
      <c r="M52" s="1321"/>
      <c r="N52" s="1321"/>
      <c r="O52" s="518"/>
      <c r="P52" s="380"/>
      <c r="Q52" s="1344"/>
      <c r="R52" s="380"/>
      <c r="S52" s="1322"/>
      <c r="T52" s="1325" t="s">
        <v>418</v>
      </c>
      <c r="U52" s="1324"/>
      <c r="V52" s="1324"/>
      <c r="W52" s="1324"/>
      <c r="X52" s="1324"/>
      <c r="Y52" s="1324"/>
      <c r="Z52" s="1324"/>
      <c r="AA52" s="1324"/>
      <c r="AB52" s="1324"/>
      <c r="AC52" s="1324"/>
      <c r="AD52" s="1324"/>
      <c r="AE52" s="1324"/>
      <c r="AF52" s="1324"/>
      <c r="AG52" s="1324"/>
      <c r="AH52" s="1324"/>
      <c r="AI52" s="1324"/>
      <c r="AJ52" s="1324"/>
      <c r="AK52" s="1324"/>
      <c r="AM52" s="500"/>
      <c r="AN52" s="500" t="str">
        <f>IF(T52="","",T52)</f>
        <v xml:space="preserve">Добавить территорию для дифференциации</v>
      </c>
      <c r="AO52" s="500"/>
      <c r="AP52" s="500"/>
      <c r="AQ52" s="511">
        <v>0</v>
      </c>
    </row>
    <row r="53" s="1642" customFormat="1" ht="0" customHeight="1">
      <c r="A53" s="1314"/>
      <c r="B53" s="1314"/>
      <c r="C53" s="1314"/>
      <c r="D53" s="1314"/>
      <c r="E53" s="1343"/>
      <c r="F53" s="1314"/>
      <c r="G53" s="1314"/>
      <c r="H53" s="1314"/>
      <c r="I53" s="1314"/>
      <c r="J53" s="1314"/>
      <c r="K53" s="1314"/>
      <c r="L53" s="1494"/>
      <c r="M53" s="1321"/>
      <c r="N53" s="1321"/>
      <c r="P53" s="1316"/>
      <c r="Q53" s="1317"/>
      <c r="R53" s="1316"/>
      <c r="S53" s="1322"/>
      <c r="T53" s="1325" t="s">
        <v>450</v>
      </c>
      <c r="U53" s="1324"/>
      <c r="V53" s="1324"/>
      <c r="W53" s="1324"/>
      <c r="X53" s="1324"/>
      <c r="Y53" s="1324"/>
      <c r="Z53" s="1324"/>
      <c r="AA53" s="1324"/>
      <c r="AB53" s="1324"/>
      <c r="AC53" s="1324"/>
      <c r="AD53" s="1324"/>
      <c r="AE53" s="1324"/>
      <c r="AF53" s="1324"/>
      <c r="AG53" s="1324"/>
      <c r="AH53" s="1324"/>
      <c r="AI53" s="1324"/>
      <c r="AJ53" s="1324"/>
      <c r="AK53" s="1324"/>
      <c r="AM53" s="789"/>
      <c r="AN53" s="789" t="str">
        <f>IF(T53="","",T53)</f>
        <v xml:space="preserve">Добавить наименование тарифа</v>
      </c>
      <c r="AO53" s="789"/>
      <c r="AP53" s="789"/>
      <c r="AQ53" s="518">
        <v>0</v>
      </c>
    </row>
    <row r="54" ht="11.5" customHeight="1">
      <c r="M54" s="1160"/>
      <c r="N54" s="1160"/>
      <c r="O54" s="537"/>
      <c r="P54" s="1155"/>
      <c r="Q54" s="1155"/>
      <c r="R54" s="1155"/>
      <c r="S54" s="1155"/>
      <c r="AL54" s="1155"/>
      <c r="AM54" s="1155"/>
      <c r="AN54" s="1155"/>
      <c r="AO54" s="1155"/>
      <c r="AP54" s="1155"/>
      <c r="AQ54" s="1155">
        <v>11</v>
      </c>
    </row>
    <row r="55" ht="14.65" customHeight="1">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r="56" ht="14.65" customHeight="1">
      <c r="O56" s="537"/>
      <c r="AQ56" s="1155">
        <v>14</v>
      </c>
    </row>
    <row r="57" ht="14.65" customHeight="1">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r="58" ht="22.5" hidden="1" customHeight="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autoFilter="0" deleteColumns="0" deleteRows="0" formatColumns="0" formatRows="0" insertColumns="1" insertRows="0" sort="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4">
    <dataValidation sqref="S131116:AK131122 S196652:AK196658 S262188:AK262194 S327724:AK327730 S393260:AK393266 S458796:AK458802 S524332:AK524338 S589868:AK589874 S655404:AK655410 S720940:AK720946 S786476:AK786482 S852012:AK852018 S917548:AK917554 S983084:AK983090 S65580:AK65586" allowBlank="1"/>
    <dataValidation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allowBlank="1" prompt="Для выбора выполните двойной щелчок левой клавиши мыши по соответствующей ячейке." showErrorMessage="1" showInputMessage="1"/>
    <dataValidation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allowBlank="1" prompt="Выберите дату из календаря (иконка справа от указанной ячейки), либо введите дату непосредственно в ячейку в формате - 'ДД.ММ.ГГГГ'." showErrorMessage="1" showInputMessage="1"/>
    <dataValidation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allowBlank="1" promptTitle="checkPeriodRange"/>
  </dataValidations>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x14:dataValidation xr:uid="{00FA0091-00DA-4F90-B1E1-00B5003B000F}" type="list" allowBlank="1" error="Выберите значение из списка" errorTitle="Ошибка" prompt="Выберите значение из списка" showInputMessage="1">
          <x14:formula1>
            <xm:f>kind_of_cons</xm:f>
          </x14:formula1>
          <xm:sqref>V983081:AJ983081 V65577:AJ65577 V131113:AJ131113 V196649:AJ196649 V262185:AJ262185 V327721:AJ327721 V393257:AJ393257 V458793:AJ458793 V524329:AJ524329 V589865:AJ589865 V655401:AJ655401 V720937:AJ720937 V786473:AJ786473 V852009:AJ852009 V917545:AJ917545</xm:sqref>
        </x14:dataValidation>
        <x14:dataValidation xr:uid="{00CC00BF-00BA-4333-BF21-0074005F0023}" type="list" allowBlank="1" error="Выберите значение из списка" errorTitle="Ошибка" showErrorMessage="1" showInputMessage="1">
          <x14:formula1>
            <xm:f>kind_of_heat_transfer</xm:f>
          </x14:formula1>
          <xm:sqref>T65578 T131114 T196650 T262186 T327722 T393258 T458794 T524330 T589866 T655402 T720938 T786474 T852010 T917546 T983082</xm:sqref>
        </x14:dataValidation>
        <x14:dataValidation xr:uid="{002A0065-00DF-4F7B-B31E-0092000C005A}" type="textLength" allowBlank="1" error="Допускается ввод не более 900 символов!" errorTitle="Ошибка" operator="lessThanOrEqual" showErrorMessage="1" showInputMessage="1">
          <x14:formula1>
            <xm:f>900</xm:f>
          </x14:formula1>
          <xm: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xm:sqref>
        </x14:dataValidation>
        <x14:dataValidation xr:uid="{00150061-007D-4506-B1C4-002C0068008E}" type="list" allowBlank="1" error="Выберите значение из списка" errorTitle="Ошибка" showErrorMessage="1" showInputMessage="1">
          <x14:formula1>
            <xm:f>kind_of_scheme_in</xm:f>
          </x14:formula1>
          <xm:sqref>V983080 V65576 V131112 V196648 V262184 V327720 V393256 V458792 V524328 V589864 V655400 V720936 V786472 V852008 V917544 AC983080 AC65576 AC131112 AC196648 AC262184 AC327720 AC393256 AC458792 AC524328 AC589864 AC655400 AC720936 AC786472 AC852008 AC917544</xm:sqref>
        </x14:dataValidation>
      </x14:dataValidations>
    </ext>
  </extLs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sheetPr>
  <sheetViews>
    <sheetView showGridLines="0" topLeftCell="A1" zoomScale="90" workbookViewId="0">
      <selection activeCell="A1" sqref="A1"/>
    </sheetView>
  </sheetViews>
  <sheetFormatPr defaultColWidth="10.57421875" defaultRowHeight="14.25" customHeight="1"/>
  <cols>
    <col customWidth="1" hidden="1" min="1" max="1" style="1366" width="11.57421875"/>
    <col customWidth="1" hidden="1" min="2" max="2" style="1366" width="11.00390625"/>
    <col hidden="1" min="3" max="3" style="1366" width="10.57421875"/>
    <col customWidth="1" hidden="1" min="4" max="4" style="1366" width="12.8515625"/>
    <col customWidth="1" hidden="1" min="5" max="5" style="1366" width="10.00390625"/>
    <col customWidth="1" hidden="1" min="6" max="6" style="1366" width="8.7109375"/>
    <col customWidth="1" hidden="1" min="7" max="7" style="1366" width="7.57421875"/>
    <col customWidth="1" hidden="1" min="8" max="8" style="1366" width="11.421875"/>
    <col customWidth="1" hidden="1" min="9" max="9" style="1366" width="12.00390625"/>
    <col customWidth="1" hidden="1" min="10" max="10" style="1366" width="9.8515625"/>
    <col customWidth="1" hidden="1" min="11" max="11" style="1366" width="11.421875"/>
    <col customWidth="1" hidden="1" min="12" max="12" style="2607" width="19.140625"/>
    <col customWidth="1" hidden="1" min="13" max="14" style="1776" width="12.28125"/>
    <col customWidth="1" hidden="1" min="15" max="15" style="1776" width="23.421875"/>
    <col customWidth="1" hidden="1" min="16" max="16" style="1776" width="3.7109375"/>
    <col customWidth="1" hidden="1" min="17" max="17" style="1371" width="3.7109375"/>
    <col customWidth="1" min="18" max="18" style="344" width="3.00390625"/>
    <col customWidth="1" min="19" max="19" style="2407" width="12.00390625"/>
    <col customWidth="1" min="20" max="20" style="1635" width="31.00390625"/>
    <col customWidth="1" min="21" max="21" style="1635" width="0.140625"/>
    <col customWidth="1" hidden="1" min="22" max="25" style="1635" width="21.7109375"/>
    <col customWidth="1" hidden="1" min="26" max="26" style="1635" width="11.7109375"/>
    <col customWidth="1" hidden="1" min="27" max="27" style="1635" width="3.7109375"/>
    <col customWidth="1" hidden="1" min="28" max="28" style="1635" width="11.7109375"/>
    <col customWidth="1" hidden="1" min="29" max="29" style="1635" width="8.57421875"/>
    <col customWidth="1" min="30" max="30" style="1635" width="3.7109375"/>
    <col customWidth="1" min="31" max="32" style="1635" width="3.00390625"/>
    <col customWidth="1" min="33" max="33" style="1635" width="24.00390625"/>
    <col customWidth="1" min="34" max="34" style="1635" width="3.7109375"/>
    <col customWidth="1" min="35" max="36" style="1635" width="3.00390625"/>
    <col customWidth="1" min="37" max="37" style="1635" width="24.00390625"/>
    <col customWidth="1" min="38" max="38" style="1635" width="3.7109375"/>
    <col customWidth="1" min="39" max="40" style="1635" width="3.00390625"/>
    <col customWidth="1" min="41" max="41" style="1635" width="18.00390625"/>
    <col customWidth="1" min="42" max="42" style="1635" width="3.7109375"/>
    <col customWidth="1" min="43" max="44" style="1635" width="3.00390625"/>
    <col customWidth="1" min="45" max="45" style="1635" width="18.00390625"/>
    <col customWidth="1" min="46" max="49" style="1635" width="21.00390625"/>
    <col customWidth="1" min="50" max="50" style="1635" width="11.00390625"/>
    <col customWidth="1" min="51" max="51" style="1635" width="3.7109375"/>
    <col customWidth="1" min="52" max="52" style="1635" width="11.00390625"/>
    <col customWidth="1" hidden="1" min="53" max="53" style="1635" width="8.57421875"/>
    <col customWidth="1" min="54" max="54" style="1635" width="4.00390625"/>
    <col customWidth="1" min="55" max="55" style="1635" width="115.00390625"/>
    <col customWidth="1" min="56" max="60" style="1642" width="10.00390625"/>
    <col hidden="1" min="61" max="61" style="1635" width="10.57421875"/>
  </cols>
  <sheetData>
    <row r="1" ht="22.5" hidden="1" customHeight="1">
      <c r="W1" s="327"/>
      <c r="Y1" s="327"/>
      <c r="Z1" s="327"/>
      <c r="AW1" s="327"/>
      <c r="AX1" s="327"/>
      <c r="BI1" s="1155" t="s">
        <v>14</v>
      </c>
    </row>
    <row r="2" ht="21" hidden="1" customHeight="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127</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 xml:space="preserve">Наименование тарифа</v>
      </c>
      <c r="BG2" s="500"/>
      <c r="BH2" s="500"/>
      <c r="BI2" s="1155">
        <v>0</v>
      </c>
    </row>
    <row r="3" ht="21" hidden="1" customHeight="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399</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400</v>
      </c>
      <c r="BE3" s="500"/>
      <c r="BF3" s="500" t="str">
        <f>IF(T3="","",T3)</f>
        <v xml:space="preserve">Территория действия тарифа</v>
      </c>
      <c r="BG3" s="500"/>
      <c r="BH3" s="500"/>
      <c r="BI3" s="1155">
        <v>0</v>
      </c>
    </row>
    <row r="4" ht="33.75" hidden="1" customHeight="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518</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519</v>
      </c>
      <c r="BE4" s="500"/>
      <c r="BF4" s="500" t="str">
        <f>IF(T4="","",T4)</f>
        <v xml:space="preserve">Наименование централизованной системы водоотведения</v>
      </c>
      <c r="BG4" s="500"/>
      <c r="BH4" s="500"/>
      <c r="BI4" s="1155">
        <v>0</v>
      </c>
    </row>
    <row r="5" s="1642" customFormat="1" ht="14.25" hidden="1" customHeight="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404</v>
      </c>
      <c r="BE5" s="500"/>
      <c r="BF5" s="500" t="str">
        <f>IF(T5="","",T5)</f>
        <v/>
      </c>
      <c r="BG5" s="500"/>
      <c r="BH5" s="500"/>
      <c r="BI5" s="511">
        <v>0</v>
      </c>
    </row>
    <row r="6" s="1642" customFormat="1" ht="14.25" hidden="1" customHeight="1">
      <c r="A6" s="1343"/>
      <c r="B6" s="1343"/>
      <c r="C6" s="1343"/>
      <c r="D6" s="1343"/>
      <c r="E6" s="2259"/>
      <c r="F6" s="2259"/>
      <c r="G6" s="2259"/>
      <c r="H6" s="2259"/>
      <c r="I6" s="2256" t="str">
        <f>S5&amp;".1"</f>
        <v>.1</v>
      </c>
      <c r="J6" s="1343"/>
      <c r="K6" s="1343"/>
      <c r="L6" s="1346" t="s">
        <v>405</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r="7" s="1642" customFormat="1" ht="14.25" hidden="1" customHeight="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r="8" ht="11.25" hidden="1" customHeight="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22</v>
      </c>
      <c r="AL8" s="2107" t="s">
        <v>65</v>
      </c>
      <c r="AM8" s="2192"/>
      <c r="AN8" s="2205">
        <v>1</v>
      </c>
      <c r="AO8" s="2357"/>
      <c r="AP8" s="2358" t="s">
        <v>65</v>
      </c>
      <c r="AQ8" s="311"/>
      <c r="AR8" s="1486">
        <v>1</v>
      </c>
      <c r="AS8" s="1492" t="s">
        <v>22</v>
      </c>
      <c r="AT8" s="751"/>
      <c r="AU8" s="1257"/>
      <c r="AV8" s="751"/>
      <c r="AW8" s="1257"/>
      <c r="AX8" s="1734"/>
      <c r="AY8" s="1469" t="s">
        <v>65</v>
      </c>
      <c r="AZ8" s="1734"/>
      <c r="BA8" s="1469" t="s">
        <v>65</v>
      </c>
      <c r="BB8" s="1348"/>
      <c r="BC8" s="2253" t="s">
        <v>503</v>
      </c>
      <c r="BE8" s="500"/>
      <c r="BF8" s="500" t="str">
        <f>IF(T8="","",T8)</f>
        <v/>
      </c>
      <c r="BG8" s="500"/>
      <c r="BH8" s="500"/>
      <c r="BI8" s="1155">
        <v>0</v>
      </c>
    </row>
    <row r="9" ht="11.25" hidden="1" customHeight="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504</v>
      </c>
      <c r="AT9" s="1393"/>
      <c r="AU9" s="1496"/>
      <c r="AV9" s="1393"/>
      <c r="AW9" s="1496"/>
      <c r="AX9" s="1393"/>
      <c r="AY9" s="1393"/>
      <c r="AZ9" s="1393"/>
      <c r="BA9" s="1393"/>
      <c r="BB9" s="1397"/>
      <c r="BC9" s="2254"/>
      <c r="BE9" s="500"/>
      <c r="BF9" s="500"/>
      <c r="BG9" s="500"/>
      <c r="BH9" s="500"/>
      <c r="BI9" s="1155">
        <v>0</v>
      </c>
    </row>
    <row r="10" ht="11.25" hidden="1" customHeight="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524</v>
      </c>
      <c r="AP10" s="416"/>
      <c r="AQ10" s="416"/>
      <c r="AR10" s="416"/>
      <c r="AS10" s="1393"/>
      <c r="AT10" s="1393"/>
      <c r="AU10" s="1496"/>
      <c r="AV10" s="1393"/>
      <c r="AW10" s="1496"/>
      <c r="AX10" s="1393"/>
      <c r="AY10" s="1393"/>
      <c r="AZ10" s="1393"/>
      <c r="BA10" s="1393"/>
      <c r="BB10" s="1397"/>
      <c r="BC10" s="2254"/>
      <c r="BE10" s="500"/>
      <c r="BF10" s="500"/>
      <c r="BG10" s="500"/>
      <c r="BH10" s="500"/>
      <c r="BI10" s="1155">
        <v>0</v>
      </c>
    </row>
    <row r="11" ht="11.25" hidden="1" customHeight="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525</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r="12" ht="11.25" hidden="1" customHeight="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507</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r="13" ht="11.25" hidden="1" customHeight="1">
      <c r="A13" s="1363"/>
      <c r="B13" s="1363"/>
      <c r="C13" s="1363"/>
      <c r="D13" s="1363"/>
      <c r="E13" s="2259"/>
      <c r="F13" s="2259"/>
      <c r="G13" s="2259"/>
      <c r="H13" s="2259"/>
      <c r="I13" s="2286"/>
      <c r="J13" s="2256"/>
      <c r="K13" s="1363"/>
      <c r="L13" s="1364"/>
      <c r="P13" s="2257"/>
      <c r="Q13" s="2257"/>
      <c r="R13" s="356"/>
      <c r="S13" s="1278"/>
      <c r="T13" s="287" t="s">
        <v>470</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 xml:space="preserve">Добавить строку</v>
      </c>
      <c r="BG13" s="500"/>
      <c r="BH13" s="500"/>
      <c r="BI13" s="1155">
        <v>0</v>
      </c>
    </row>
    <row r="14" s="1642" customFormat="1" ht="14.25" hidden="1" customHeight="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r="15" s="1642" customFormat="1" ht="14.25" hidden="1" customHeight="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r="16" s="1642" customFormat="1" ht="14.25" hidden="1" customHeight="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r="17" s="1642" customFormat="1" ht="14.25" hidden="1" customHeight="1">
      <c r="A17" s="1343"/>
      <c r="B17" s="1343"/>
      <c r="C17" s="1314"/>
      <c r="D17" s="1314"/>
      <c r="E17" s="2259"/>
      <c r="F17" s="2258"/>
      <c r="G17" s="1314"/>
      <c r="H17" s="1314"/>
      <c r="I17" s="1314"/>
      <c r="J17" s="1314"/>
      <c r="K17" s="1314"/>
      <c r="L17" s="1494"/>
      <c r="M17" s="1321"/>
      <c r="N17" s="1321"/>
      <c r="P17" s="1316"/>
      <c r="Q17" s="1317"/>
      <c r="R17" s="1316"/>
      <c r="S17" s="1322"/>
      <c r="T17" s="1325" t="s">
        <v>417</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 xml:space="preserve">Добавить централизованную систему для дифференциации</v>
      </c>
      <c r="BG17" s="789"/>
      <c r="BH17" s="789"/>
      <c r="BI17" s="518">
        <v>0</v>
      </c>
    </row>
    <row r="18" s="1642" customFormat="1" ht="14.25" hidden="1" customHeight="1">
      <c r="A18" s="1343"/>
      <c r="B18" s="1343"/>
      <c r="C18" s="1343"/>
      <c r="D18" s="1343"/>
      <c r="E18" s="2258"/>
      <c r="F18" s="1343"/>
      <c r="G18" s="1343"/>
      <c r="H18" s="1343"/>
      <c r="I18" s="1343"/>
      <c r="J18" s="1343"/>
      <c r="K18" s="1343"/>
      <c r="L18" s="1346"/>
      <c r="M18" s="1321"/>
      <c r="N18" s="1321"/>
      <c r="O18" s="518"/>
      <c r="P18" s="380"/>
      <c r="Q18" s="1344"/>
      <c r="R18" s="380"/>
      <c r="S18" s="1322"/>
      <c r="T18" s="1325" t="s">
        <v>418</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 xml:space="preserve">Добавить территорию для дифференциации</v>
      </c>
      <c r="BG18" s="500"/>
      <c r="BH18" s="500"/>
      <c r="BI18" s="511">
        <v>0</v>
      </c>
    </row>
    <row r="19" ht="14.25" hidden="1" customHeight="1">
      <c r="AC19" s="327"/>
      <c r="BA19" s="327"/>
      <c r="BI19" s="1155">
        <v>0</v>
      </c>
    </row>
    <row r="20" ht="14.25" hidden="1" customHeight="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r="21" ht="14.25" hidden="1" customHeight="1">
      <c r="BD21" s="496"/>
      <c r="BE21" s="496"/>
      <c r="BF21" s="496"/>
      <c r="BG21" s="496"/>
      <c r="BH21" s="496"/>
      <c r="BI21" s="1155">
        <v>0</v>
      </c>
    </row>
    <row r="22" ht="14.25" hidden="1" customHeight="1">
      <c r="O22" s="1367" t="s">
        <v>419</v>
      </c>
      <c r="Z22" s="1345"/>
      <c r="AB22" s="1345"/>
      <c r="AC22" s="327"/>
      <c r="AX22" s="1345"/>
      <c r="AZ22" s="1345"/>
      <c r="BA22" s="327"/>
      <c r="BD22" s="496"/>
      <c r="BE22" s="496"/>
      <c r="BF22" s="496"/>
      <c r="BG22" s="496"/>
      <c r="BH22" s="496"/>
      <c r="BI22" s="1155">
        <v>0</v>
      </c>
    </row>
    <row r="23" ht="14.25" hidden="1" customHeight="1">
      <c r="AC23" s="327"/>
      <c r="BA23" s="327"/>
      <c r="BD23" s="496"/>
      <c r="BE23" s="496"/>
      <c r="BF23" s="496"/>
      <c r="BG23" s="496"/>
      <c r="BH23" s="496"/>
      <c r="BI23" s="1155">
        <v>0</v>
      </c>
    </row>
    <row r="24" s="1509" customFormat="1" ht="14.25" hidden="1" customHeight="1">
      <c r="M24" s="1508"/>
      <c r="N24" s="1508"/>
      <c r="O24" s="1509" t="s">
        <v>420</v>
      </c>
      <c r="P24" s="1508"/>
      <c r="Q24" s="1510"/>
      <c r="R24" s="1510"/>
      <c r="AA24" s="1507" t="s">
        <v>422</v>
      </c>
      <c r="AC24" s="1507" t="s">
        <v>423</v>
      </c>
      <c r="AD24" s="1507" t="s">
        <v>471</v>
      </c>
      <c r="AH24" s="1507" t="s">
        <v>471</v>
      </c>
      <c r="AK24" s="1507" t="s">
        <v>508</v>
      </c>
      <c r="AL24" s="1507" t="s">
        <v>471</v>
      </c>
      <c r="AP24" s="1507" t="s">
        <v>471</v>
      </c>
      <c r="AY24" s="1507" t="s">
        <v>422</v>
      </c>
      <c r="BA24" s="1507" t="s">
        <v>423</v>
      </c>
      <c r="BD24" s="1511"/>
      <c r="BE24" s="1511"/>
      <c r="BF24" s="1511"/>
      <c r="BG24" s="1511"/>
      <c r="BH24" s="1511"/>
      <c r="BI24" s="1507">
        <v>0</v>
      </c>
    </row>
    <row r="25" ht="14.25" hidden="1" customHeight="1">
      <c r="O25" s="1364"/>
      <c r="BD25" s="496"/>
      <c r="BE25" s="496"/>
      <c r="BF25" s="496"/>
      <c r="BG25" s="496"/>
      <c r="BH25" s="496"/>
      <c r="BI25" s="1155">
        <v>0</v>
      </c>
    </row>
    <row r="26" ht="14.25" hidden="1" customHeight="1">
      <c r="O26" s="1364"/>
      <c r="BD26" s="496"/>
      <c r="BE26" s="496"/>
      <c r="BF26" s="496"/>
      <c r="BG26" s="496"/>
      <c r="BH26" s="496"/>
      <c r="BI26" s="1155">
        <v>0</v>
      </c>
    </row>
    <row r="27" ht="14.65" customHeight="1">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r="28" ht="14.65" customHeight="1">
      <c r="Q28" s="291"/>
      <c r="R28" s="376"/>
      <c r="S28" s="2248" t="str">
        <f>IF(TEMPLATE_GROUP="P",PT_P_FORM_VOTV_5_NAME_FORM,PT_R_FORM_VOTV_17_NAME_FORM)</f>
        <v xml:space="preserve">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r="29" ht="14.65" customHeight="1">
      <c r="Q29" s="291"/>
      <c r="R29" s="376"/>
      <c r="S29" s="2249" t="str">
        <f>IF(org=0,"Не определено",org)</f>
        <v xml:space="preserve">филиал ПАО "ОГК-2" - Рязанская ГРЭС</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r="30" ht="14.25" hidden="1" customHeight="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r="31" s="1853" customFormat="1" ht="25.5" hidden="1" customHeight="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r="32" s="1853" customFormat="1" ht="18.75" hidden="1" customHeight="1">
      <c r="A32" s="1368"/>
      <c r="B32" s="1368"/>
      <c r="C32" s="1368"/>
      <c r="D32" s="1368"/>
      <c r="E32" s="1368"/>
      <c r="F32" s="1368"/>
      <c r="G32" s="1368"/>
      <c r="H32" s="1368"/>
      <c r="I32" s="1368"/>
      <c r="J32" s="1368"/>
      <c r="K32" s="1368"/>
      <c r="L32" s="1369"/>
      <c r="M32" s="1368"/>
      <c r="N32" s="1368"/>
      <c r="O32" s="1368"/>
      <c r="P32" s="1368"/>
      <c r="Q32" s="1368"/>
      <c r="S32" s="2250" t="s">
        <v>425</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r="33" s="1853" customFormat="1" ht="18.75" hidden="1" customHeight="1">
      <c r="A33" s="1368"/>
      <c r="B33" s="1368"/>
      <c r="C33" s="1368"/>
      <c r="D33" s="1368"/>
      <c r="E33" s="1368"/>
      <c r="F33" s="1368"/>
      <c r="G33" s="1368"/>
      <c r="H33" s="1368"/>
      <c r="I33" s="1368"/>
      <c r="J33" s="1368"/>
      <c r="K33" s="1368"/>
      <c r="L33" s="1369"/>
      <c r="M33" s="1368"/>
      <c r="N33" s="1368"/>
      <c r="O33" s="1368"/>
      <c r="P33" s="1368"/>
      <c r="Q33" s="1368"/>
      <c r="S33" s="2250" t="s">
        <v>426</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r="34" s="1853" customFormat="1" ht="18.75" hidden="1" customHeight="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r="35" ht="14.25" hidden="1" customHeight="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r="36" s="1853" customFormat="1" ht="18.75" hidden="1" customHeight="1">
      <c r="A36" s="1368"/>
      <c r="B36" s="1368"/>
      <c r="C36" s="1368"/>
      <c r="D36" s="1368"/>
      <c r="E36" s="1368"/>
      <c r="F36" s="1368"/>
      <c r="G36" s="1368"/>
      <c r="H36" s="1368"/>
      <c r="I36" s="1368"/>
      <c r="J36" s="1368"/>
      <c r="K36" s="1368"/>
      <c r="L36" s="1369"/>
      <c r="M36" s="1368"/>
      <c r="N36" s="1368"/>
      <c r="O36" s="1368"/>
      <c r="P36" s="1368"/>
      <c r="Q36" s="1368"/>
      <c r="S36" s="2250" t="s">
        <v>425</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r="37" s="1853" customFormat="1" ht="18.75" hidden="1" customHeight="1">
      <c r="A37" s="1368"/>
      <c r="B37" s="1368"/>
      <c r="C37" s="1368"/>
      <c r="D37" s="1368"/>
      <c r="E37" s="1368"/>
      <c r="F37" s="1368"/>
      <c r="G37" s="1368"/>
      <c r="H37" s="1368"/>
      <c r="I37" s="1368"/>
      <c r="J37" s="1368"/>
      <c r="K37" s="1368"/>
      <c r="L37" s="1369"/>
      <c r="M37" s="1368"/>
      <c r="N37" s="1368"/>
      <c r="O37" s="1368"/>
      <c r="P37" s="1368"/>
      <c r="Q37" s="1368"/>
      <c r="S37" s="2250" t="s">
        <v>426</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r="38" s="1853" customFormat="1" ht="0" customHeight="1">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429</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429</v>
      </c>
      <c r="BD38" s="368"/>
      <c r="BE38" s="368"/>
      <c r="BF38" s="368"/>
      <c r="BG38" s="368"/>
      <c r="BH38" s="368"/>
      <c r="BI38" s="418">
        <v>0</v>
      </c>
    </row>
    <row r="39" ht="14.65" customHeight="1">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r="40" ht="14.65" customHeight="1">
      <c r="Q40" s="291"/>
      <c r="R40" s="376"/>
      <c r="S40" s="2127" t="s">
        <v>302</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303</v>
      </c>
      <c r="BI40" s="1155">
        <v>14</v>
      </c>
    </row>
    <row r="41" ht="14.65" customHeight="1">
      <c r="Q41" s="291"/>
      <c r="R41" s="376"/>
      <c r="S41" s="2273" t="s">
        <v>87</v>
      </c>
      <c r="T41" s="2209" t="s">
        <v>509</v>
      </c>
      <c r="U41" s="301"/>
      <c r="V41" s="2274" t="s">
        <v>431</v>
      </c>
      <c r="W41" s="2275"/>
      <c r="X41" s="2275"/>
      <c r="Y41" s="2275"/>
      <c r="Z41" s="2275"/>
      <c r="AA41" s="2275"/>
      <c r="AB41" s="2276"/>
      <c r="AC41" s="2277" t="s">
        <v>432</v>
      </c>
      <c r="AD41" s="2328" t="s">
        <v>526</v>
      </c>
      <c r="AE41" s="2291"/>
      <c r="AF41" s="2291"/>
      <c r="AG41" s="2329"/>
      <c r="AH41" s="2328" t="s">
        <v>527</v>
      </c>
      <c r="AI41" s="2291"/>
      <c r="AJ41" s="2291"/>
      <c r="AK41" s="2329"/>
      <c r="AL41" s="2328" t="s">
        <v>528</v>
      </c>
      <c r="AM41" s="2291"/>
      <c r="AN41" s="2291"/>
      <c r="AO41" s="2329"/>
      <c r="AP41" s="2328" t="s">
        <v>513</v>
      </c>
      <c r="AQ41" s="2291"/>
      <c r="AR41" s="2291"/>
      <c r="AS41" s="2329"/>
      <c r="AT41" s="2274" t="s">
        <v>431</v>
      </c>
      <c r="AU41" s="2275"/>
      <c r="AV41" s="2275"/>
      <c r="AW41" s="2275"/>
      <c r="AX41" s="2275"/>
      <c r="AY41" s="2275"/>
      <c r="AZ41" s="2276"/>
      <c r="BA41" s="2277" t="s">
        <v>432</v>
      </c>
      <c r="BB41" s="2280" t="s">
        <v>434</v>
      </c>
      <c r="BC41" s="2127"/>
      <c r="BI41" s="1155">
        <v>14</v>
      </c>
    </row>
    <row r="42" ht="35.649999999999999" customHeight="1">
      <c r="Q42" s="291"/>
      <c r="R42" s="376"/>
      <c r="S42" s="2273"/>
      <c r="T42" s="2209"/>
      <c r="U42" s="1031"/>
      <c r="V42" s="2192" t="s">
        <v>514</v>
      </c>
      <c r="W42" s="2193"/>
      <c r="X42" s="2192" t="s">
        <v>515</v>
      </c>
      <c r="Y42" s="2193"/>
      <c r="Z42" s="2294" t="s">
        <v>516</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529</v>
      </c>
      <c r="AU42" s="2193"/>
      <c r="AV42" s="2192" t="s">
        <v>530</v>
      </c>
      <c r="AW42" s="2193"/>
      <c r="AX42" s="2294" t="s">
        <v>516</v>
      </c>
      <c r="AY42" s="2313"/>
      <c r="AZ42" s="2314"/>
      <c r="BA42" s="2278"/>
      <c r="BB42" s="2281"/>
      <c r="BC42" s="2127"/>
      <c r="BI42" s="1155">
        <v>34</v>
      </c>
    </row>
    <row r="43" ht="14.65" customHeight="1">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r="44" ht="14.65" customHeight="1">
      <c r="A44" s="1370"/>
      <c r="B44" s="1370" t="s">
        <v>139</v>
      </c>
      <c r="C44" s="1370" t="s">
        <v>140</v>
      </c>
      <c r="D44" s="1370" t="s">
        <v>141</v>
      </c>
      <c r="E44" s="1364" t="s">
        <v>439</v>
      </c>
      <c r="F44" s="1364" t="s">
        <v>440</v>
      </c>
      <c r="G44" s="1364" t="s">
        <v>441</v>
      </c>
      <c r="H44" s="1364" t="s">
        <v>442</v>
      </c>
      <c r="I44" s="1364" t="s">
        <v>443</v>
      </c>
      <c r="J44" s="1364" t="s">
        <v>444</v>
      </c>
      <c r="K44" s="1364" t="s">
        <v>445</v>
      </c>
      <c r="L44" s="1364" t="s">
        <v>420</v>
      </c>
      <c r="Q44" s="291"/>
      <c r="R44" s="376"/>
      <c r="S44" s="2273"/>
      <c r="T44" s="2209"/>
      <c r="U44" s="302"/>
      <c r="V44" s="1479" t="s">
        <v>480</v>
      </c>
      <c r="W44" s="1479" t="s">
        <v>481</v>
      </c>
      <c r="X44" s="1479" t="s">
        <v>480</v>
      </c>
      <c r="Y44" s="1479" t="s">
        <v>481</v>
      </c>
      <c r="Z44" s="1489" t="s">
        <v>448</v>
      </c>
      <c r="AA44" s="2270" t="s">
        <v>449</v>
      </c>
      <c r="AB44" s="2271"/>
      <c r="AC44" s="2279"/>
      <c r="AD44" s="2333"/>
      <c r="AE44" s="2334"/>
      <c r="AF44" s="2334"/>
      <c r="AG44" s="2335"/>
      <c r="AH44" s="2333"/>
      <c r="AI44" s="2334"/>
      <c r="AJ44" s="2334"/>
      <c r="AK44" s="2335"/>
      <c r="AL44" s="2333"/>
      <c r="AM44" s="2334"/>
      <c r="AN44" s="2334"/>
      <c r="AO44" s="2335"/>
      <c r="AP44" s="2333"/>
      <c r="AQ44" s="2334"/>
      <c r="AR44" s="2334"/>
      <c r="AS44" s="2335"/>
      <c r="AT44" s="1479" t="s">
        <v>480</v>
      </c>
      <c r="AU44" s="1479" t="s">
        <v>481</v>
      </c>
      <c r="AV44" s="1479" t="s">
        <v>480</v>
      </c>
      <c r="AW44" s="1479" t="s">
        <v>481</v>
      </c>
      <c r="AX44" s="1489" t="s">
        <v>448</v>
      </c>
      <c r="AY44" s="2270" t="s">
        <v>449</v>
      </c>
      <c r="AZ44" s="2271"/>
      <c r="BA44" s="2279"/>
      <c r="BB44" s="2282"/>
      <c r="BC44" s="2127"/>
      <c r="BI44" s="1155">
        <v>14</v>
      </c>
    </row>
    <row r="45" s="1641" customFormat="1" ht="11.25" hidden="1" customHeight="1">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r="46" ht="22" customHeight="1">
      <c r="A46" s="1363" t="s">
        <v>278</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127</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 xml:space="preserve">Наименование тарифа</v>
      </c>
      <c r="BG46" s="500"/>
      <c r="BH46" s="500"/>
      <c r="BI46" s="1155">
        <v>21</v>
      </c>
    </row>
    <row r="47" ht="22" customHeight="1">
      <c r="A47" s="1363" t="s">
        <v>278</v>
      </c>
      <c r="B47" s="1363" t="s">
        <v>279</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399</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400</v>
      </c>
      <c r="BE47" s="500"/>
      <c r="BF47" s="500" t="str">
        <f>IF(T47="","",T47)</f>
        <v xml:space="preserve">Территория действия тарифа</v>
      </c>
      <c r="BG47" s="500"/>
      <c r="BH47" s="500"/>
      <c r="BI47" s="1155">
        <v>21</v>
      </c>
    </row>
    <row r="48" ht="35.649999999999999" customHeight="1">
      <c r="A48" s="1363" t="s">
        <v>278</v>
      </c>
      <c r="B48" s="1363" t="s">
        <v>279</v>
      </c>
      <c r="C48" s="1363" t="s">
        <v>280</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518</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519</v>
      </c>
      <c r="BE48" s="500"/>
      <c r="BF48" s="500" t="str">
        <f>IF(T48="","",T48)</f>
        <v xml:space="preserve">Наименование централизованной системы водоотведения</v>
      </c>
      <c r="BG48" s="500"/>
      <c r="BH48" s="500"/>
      <c r="BI48" s="1155">
        <v>34</v>
      </c>
    </row>
    <row r="49" s="1642" customFormat="1" ht="0" customHeight="1">
      <c r="A49" s="1343" t="s">
        <v>278</v>
      </c>
      <c r="B49" s="1343" t="s">
        <v>279</v>
      </c>
      <c r="C49" s="1343" t="s">
        <v>280</v>
      </c>
      <c r="D49" s="1343" t="s">
        <v>531</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404</v>
      </c>
      <c r="BE49" s="500"/>
      <c r="BF49" s="500" t="str">
        <f>IF(T49="","",T49)</f>
        <v/>
      </c>
      <c r="BG49" s="500"/>
      <c r="BH49" s="500"/>
      <c r="BI49" s="511">
        <v>0</v>
      </c>
    </row>
    <row r="50" s="1642" customFormat="1" ht="0" customHeight="1">
      <c r="A50" s="1343" t="s">
        <v>278</v>
      </c>
      <c r="B50" s="1343" t="s">
        <v>279</v>
      </c>
      <c r="C50" s="1343" t="s">
        <v>280</v>
      </c>
      <c r="D50" s="1343" t="s">
        <v>531</v>
      </c>
      <c r="E50" s="2259"/>
      <c r="F50" s="2259"/>
      <c r="G50" s="2259"/>
      <c r="H50" s="2259"/>
      <c r="I50" s="2256" t="str">
        <f>S49&amp;".1"</f>
        <v>.1</v>
      </c>
      <c r="J50" s="1343"/>
      <c r="K50" s="1343"/>
      <c r="L50" s="1346" t="s">
        <v>405</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r="51" s="1642" customFormat="1" ht="0" customHeight="1">
      <c r="A51" s="1343" t="s">
        <v>278</v>
      </c>
      <c r="B51" s="1343" t="s">
        <v>279</v>
      </c>
      <c r="C51" s="1343" t="s">
        <v>280</v>
      </c>
      <c r="D51" s="1343" t="s">
        <v>531</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r="52" ht="11.5" customHeight="1">
      <c r="A52" s="1363" t="s">
        <v>278</v>
      </c>
      <c r="B52" s="1363" t="s">
        <v>279</v>
      </c>
      <c r="C52" s="1363" t="s">
        <v>280</v>
      </c>
      <c r="D52" s="1363" t="s">
        <v>531</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86">
        <v>1</v>
      </c>
      <c r="AS52" s="1492" t="s">
        <v>22</v>
      </c>
      <c r="AT52" s="751"/>
      <c r="AU52" s="1257"/>
      <c r="AV52" s="751"/>
      <c r="AW52" s="1257"/>
      <c r="AX52" s="1734"/>
      <c r="AY52" s="1469" t="s">
        <v>65</v>
      </c>
      <c r="AZ52" s="1734"/>
      <c r="BA52" s="1469" t="s">
        <v>65</v>
      </c>
      <c r="BB52" s="1348"/>
      <c r="BC52" s="2253" t="s">
        <v>503</v>
      </c>
      <c r="BE52" s="500"/>
      <c r="BF52" s="500" t="str">
        <f>IF(T52="","",T52)</f>
        <v/>
      </c>
      <c r="BG52" s="500"/>
      <c r="BH52" s="500"/>
      <c r="BI52" s="1155">
        <v>11</v>
      </c>
    </row>
    <row r="53" ht="11.5" customHeight="1">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504</v>
      </c>
      <c r="AT53" s="1393"/>
      <c r="AU53" s="1496"/>
      <c r="AV53" s="1393"/>
      <c r="AW53" s="1496"/>
      <c r="AX53" s="1393"/>
      <c r="AY53" s="1393"/>
      <c r="AZ53" s="1393"/>
      <c r="BA53" s="1393"/>
      <c r="BB53" s="1397"/>
      <c r="BC53" s="2254"/>
      <c r="BE53" s="500"/>
      <c r="BF53" s="500"/>
      <c r="BG53" s="500"/>
      <c r="BH53" s="500"/>
      <c r="BI53" s="1155">
        <v>11</v>
      </c>
    </row>
    <row r="54" ht="11.5" customHeight="1">
      <c r="A54" s="1363" t="s">
        <v>278</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524</v>
      </c>
      <c r="AP54" s="416"/>
      <c r="AQ54" s="416"/>
      <c r="AR54" s="416"/>
      <c r="AS54" s="1393"/>
      <c r="AT54" s="1393"/>
      <c r="AU54" s="1496"/>
      <c r="AV54" s="1393"/>
      <c r="AW54" s="1496"/>
      <c r="AX54" s="1393"/>
      <c r="AY54" s="1393"/>
      <c r="AZ54" s="1393"/>
      <c r="BA54" s="1393"/>
      <c r="BB54" s="1397"/>
      <c r="BC54" s="2254"/>
      <c r="BE54" s="500"/>
      <c r="BF54" s="500"/>
      <c r="BG54" s="500"/>
      <c r="BH54" s="500"/>
      <c r="BI54" s="1155">
        <v>11</v>
      </c>
    </row>
    <row r="55" ht="11.5" customHeight="1">
      <c r="A55" s="1363" t="s">
        <v>278</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525</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r="56" ht="11.5" customHeight="1">
      <c r="A56" s="1363" t="s">
        <v>278</v>
      </c>
      <c r="B56" s="1363" t="s">
        <v>279</v>
      </c>
      <c r="C56" s="1363" t="s">
        <v>280</v>
      </c>
      <c r="D56" s="1363" t="s">
        <v>531</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507</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r="57" ht="11.5" customHeight="1">
      <c r="A57" s="1363" t="s">
        <v>278</v>
      </c>
      <c r="B57" s="1363" t="s">
        <v>279</v>
      </c>
      <c r="C57" s="1363" t="s">
        <v>280</v>
      </c>
      <c r="D57" s="1363" t="s">
        <v>531</v>
      </c>
      <c r="E57" s="2259"/>
      <c r="F57" s="2259"/>
      <c r="G57" s="2259"/>
      <c r="H57" s="2259"/>
      <c r="I57" s="2286"/>
      <c r="J57" s="2256"/>
      <c r="K57" s="1363"/>
      <c r="L57" s="1364"/>
      <c r="P57" s="2257"/>
      <c r="Q57" s="2257"/>
      <c r="R57" s="356"/>
      <c r="S57" s="1278"/>
      <c r="T57" s="287" t="s">
        <v>470</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 xml:space="preserve">Добавить строку</v>
      </c>
      <c r="BG57" s="500"/>
      <c r="BH57" s="500"/>
      <c r="BI57" s="1155">
        <v>11</v>
      </c>
    </row>
    <row r="58" s="1642" customFormat="1" ht="0" customHeight="1">
      <c r="A58" s="1343" t="s">
        <v>278</v>
      </c>
      <c r="B58" s="1343" t="s">
        <v>279</v>
      </c>
      <c r="C58" s="1343" t="s">
        <v>280</v>
      </c>
      <c r="D58" s="1343" t="s">
        <v>531</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r="59" s="1642" customFormat="1" ht="0" customHeight="1">
      <c r="A59" s="1343" t="s">
        <v>278</v>
      </c>
      <c r="B59" s="1343" t="s">
        <v>279</v>
      </c>
      <c r="C59" s="1343" t="s">
        <v>280</v>
      </c>
      <c r="D59" s="1343" t="s">
        <v>531</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r="60" s="1642" customFormat="1" ht="0" customHeight="1">
      <c r="A60" s="1343" t="s">
        <v>278</v>
      </c>
      <c r="B60" s="1343" t="s">
        <v>279</v>
      </c>
      <c r="C60" s="1343" t="s">
        <v>280</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r="61" s="1642" customFormat="1" ht="0" customHeight="1">
      <c r="A61" s="1343" t="s">
        <v>278</v>
      </c>
      <c r="B61" s="1343" t="s">
        <v>279</v>
      </c>
      <c r="C61" s="1314"/>
      <c r="D61" s="1314"/>
      <c r="E61" s="2259"/>
      <c r="F61" s="2258"/>
      <c r="G61" s="1314"/>
      <c r="H61" s="1314"/>
      <c r="I61" s="1314"/>
      <c r="J61" s="1314"/>
      <c r="K61" s="1314"/>
      <c r="L61" s="1494"/>
      <c r="M61" s="1321"/>
      <c r="N61" s="1321"/>
      <c r="P61" s="1316"/>
      <c r="Q61" s="1317"/>
      <c r="R61" s="1316"/>
      <c r="S61" s="1322"/>
      <c r="T61" s="1325" t="s">
        <v>417</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 xml:space="preserve">Добавить централизованную систему для дифференциации</v>
      </c>
      <c r="BG61" s="789"/>
      <c r="BH61" s="789"/>
      <c r="BI61" s="518">
        <v>0</v>
      </c>
    </row>
    <row r="62" s="1642" customFormat="1" ht="0" customHeight="1">
      <c r="A62" s="1343" t="s">
        <v>278</v>
      </c>
      <c r="B62" s="1343"/>
      <c r="C62" s="1343"/>
      <c r="D62" s="1343"/>
      <c r="E62" s="2258"/>
      <c r="F62" s="1343"/>
      <c r="G62" s="1343"/>
      <c r="H62" s="1343"/>
      <c r="I62" s="1343"/>
      <c r="J62" s="1343"/>
      <c r="K62" s="1343"/>
      <c r="L62" s="1346"/>
      <c r="M62" s="1321"/>
      <c r="N62" s="1321"/>
      <c r="O62" s="518"/>
      <c r="P62" s="380"/>
      <c r="Q62" s="1344"/>
      <c r="R62" s="380"/>
      <c r="S62" s="1322"/>
      <c r="T62" s="1325" t="s">
        <v>418</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 xml:space="preserve">Добавить территорию для дифференциации</v>
      </c>
      <c r="BG62" s="500"/>
      <c r="BH62" s="500"/>
      <c r="BI62" s="511">
        <v>0</v>
      </c>
    </row>
    <row r="63" s="1642" customFormat="1" ht="0" customHeight="1">
      <c r="A63" s="1314"/>
      <c r="B63" s="1314"/>
      <c r="C63" s="1314"/>
      <c r="D63" s="1314"/>
      <c r="E63" s="1343"/>
      <c r="F63" s="1314"/>
      <c r="G63" s="1314"/>
      <c r="H63" s="1314"/>
      <c r="I63" s="1314"/>
      <c r="J63" s="1314"/>
      <c r="K63" s="1314"/>
      <c r="L63" s="1494"/>
      <c r="M63" s="1321"/>
      <c r="N63" s="1321"/>
      <c r="P63" s="1316"/>
      <c r="Q63" s="1317"/>
      <c r="R63" s="1316"/>
      <c r="S63" s="1322"/>
      <c r="T63" s="1325" t="s">
        <v>450</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 xml:space="preserve">Добавить наименование тарифа</v>
      </c>
      <c r="BG63" s="789"/>
      <c r="BH63" s="789"/>
      <c r="BI63" s="518">
        <v>0</v>
      </c>
    </row>
    <row r="64" ht="11.5" customHeight="1">
      <c r="M64" s="1160"/>
      <c r="N64" s="1160"/>
      <c r="O64" s="537"/>
      <c r="P64" s="1160"/>
      <c r="Q64" s="1160"/>
      <c r="R64" s="1155"/>
      <c r="S64" s="1155"/>
      <c r="BD64" s="1155"/>
      <c r="BE64" s="1155"/>
      <c r="BF64" s="1155"/>
      <c r="BG64" s="1155"/>
      <c r="BH64" s="1155"/>
      <c r="BI64" s="1155">
        <v>11</v>
      </c>
    </row>
    <row r="65" ht="14.65" customHeight="1">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r="66" ht="14.65" customHeight="1">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r="67" ht="14.65" customHeight="1">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r="68" ht="14.65" customHeight="1">
      <c r="O68" s="537"/>
      <c r="BI68" s="1155">
        <v>14</v>
      </c>
    </row>
    <row r="69" ht="14.25" hidden="1" customHeight="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autoFilter="0" deleteColumns="0" deleteRows="0" formatColumns="0" formatRows="0" insertColumns="1" insertRows="0" sort="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4">
    <dataValidation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allowBlank="1" prompt="Выберите дату из календаря (иконка справа от указанной ячейки), либо введите дату непосредственно в ячейку в формате - 'ДД.ММ.ГГГГ'." showErrorMessage="1" showInputMessage="1"/>
    <dataValidation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allowBlank="1" promptTitle="checkPeriodRange"/>
    <dataValidation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allowBlank="1" prompt="Для выбора выполните двойной щелчок левой клавиши мыши по соответствующей ячейке." showErrorMessage="1" showInputMessage="1"/>
    <dataValidation sqref="S65591:BC65597 S983095:BC983101 S917559:BC917565 S852023:BC852029 S786487:BC786493 S720951:BC720957 S655415:BC655421 S589879:BC589885 S524343:BC524349 S458807:BC458813 S393271:BC393277 S327735:BC327741 S262199:BC262205 S196663:BC196669 S131127:BC131133" allowBlank="1"/>
  </dataValidations>
  <pageMargins left="0.69999999999999996" right="0.69999999999999996" top="0.75" bottom="0.75" header="0.29999999999999999" footer="0.29999999999999999"/>
  <pageSetup paperSize="9"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5">
        <x14:dataValidation xr:uid="{00130043-0032-41F0-A9F2-00A1001600B9}" type="list" allowBlank="1" error="Выберите значение из списка" errorTitle="Ошибка" showErrorMessage="1" showInputMessage="1">
          <x14:formula1>
            <xm:f>kind_of_heat_transfer</xm:f>
          </x14:formula1>
          <xm:sqref>T65589 T131125 T196661 T262197 T327733 T393269 T458805 T524341 T589877 T655413 T720949 T786485 T852021 T917557 T983093</xm:sqref>
        </x14:dataValidation>
        <x14:dataValidation xr:uid="{00CB0091-00BC-4A71-8A16-00FC00B70091}" type="list" allowBlank="1" error="Выберите значение из списка" errorTitle="Ошибка" showErrorMessage="1" showInputMessage="1">
          <x14:formula1>
            <xm:f>kind_of_scheme_in</xm:f>
          </x14:formula1>
          <xm:sqref>AD917555:AS917555 AD983091:AS983091 AD65587:AS65587 AD131123:AS131123 AD196659:AS196659 AD262195:AS262195 AD327731:AS327731 AD393267:AS393267 AD458803:AS458803 AD524339:AS524339 AD589875:AS589875 AD655411:AS655411 AD720947:AS720947 AD786483:AS786483 AD852019:AS852019</xm:sqref>
        </x14:dataValidation>
        <x14:dataValidation xr:uid="{0092006D-0062-4903-B8CC-00FD002400C8}" type="textLength" allowBlank="1" error="Допускается ввод не более 900 символов!" errorTitle="Ошибка" operator="lessThanOrEqual" showErrorMessage="1" showInputMessage="1">
          <x14:formula1>
            <xm:f>900</xm:f>
          </x14:formula1>
          <xm:sqref>BC65583:BC65590 BC131119:BC131126 BC196655:BC196662 BC262191:BC262198 BC327727:BC327734 BC393263:BC393270 BC458799:BC458806 BC524335:BC524342 BC589871:BC589878 BC655407:BC655414 BC720943:BC720950 BC786479:BC786486 BC852015:BC852022 BC917551:BC917558 BC983087:BC983094 AS8 T8:T12 AS52 T52:T56</xm:sqref>
        </x14:dataValidation>
        <x14:dataValidation xr:uid="{00D000E5-00FD-4417-8167-009C009A00CA}" type="decimal" allowBlank="1" error="Допускается ввод только действительных чисел!" errorTitle="Ошибка" showErrorMessage="1">
          <x14:formula1>
            <xm:f>-9.99999999999999E+23</xm:f>
          </x14:formula1>
          <x14:formula2>
            <xm:f>9.99999999999999E+23</xm:f>
          </x14:formula2>
          <xm:sqref>AO52:AO53 AG8:AG11 AO8:AO9 AG52:AG55</xm:sqref>
        </x14:dataValidation>
        <x14:dataValidation xr:uid="{004A0016-005C-46B8-B72F-001900860013}" type="list" allowBlank="1" error="Выберите значение из списка" errorTitle="Ошибка" prompt="Выберите значение из списка" showInputMessage="1">
          <x14:formula1>
            <xm:f>kind_of_cons</xm:f>
          </x14:formula1>
          <xm:sqref>V983092:BB983092 V917556:BB917556 V852020:BB852020 V786484:BB786484 V720948:BB720948 V655412:BB655412 V589876:BB589876 V524340:BB524340 V458804:BB458804 V393268:BB393268 V327732:BB327732 V262196:BB262196 V196660:BB196660 V131124:BB131124 V65588:BB65588</xm:sqref>
        </x14:dataValidation>
      </x14:dataValidations>
    </ext>
  </extLst>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sheetPr>
  <sheetViews>
    <sheetView showGridLines="0" topLeftCell="A1" zoomScale="90" workbookViewId="0">
      <selection activeCell="A1" sqref="A1"/>
    </sheetView>
  </sheetViews>
  <sheetFormatPr defaultColWidth="10.57421875" defaultRowHeight="14.25" customHeight="1"/>
  <cols>
    <col hidden="1" min="1" max="1" style="1366" width="10.57421875"/>
    <col customWidth="1" hidden="1" min="2" max="2" style="1366" width="11.00390625"/>
    <col hidden="1" min="3" max="3" style="1366" width="10.57421875"/>
    <col customWidth="1" hidden="1" min="4" max="4" style="1366" width="11.8515625"/>
    <col customWidth="1" hidden="1" min="5" max="5" style="1366" width="10.00390625"/>
    <col customWidth="1" hidden="1" min="6" max="6" style="1366" width="8.7109375"/>
    <col customWidth="1" hidden="1" min="7" max="7" style="1366" width="7.57421875"/>
    <col customWidth="1" hidden="1" min="8" max="8" style="1366" width="11.421875"/>
    <col customWidth="1" hidden="1" min="9" max="9" style="1366" width="14.140625"/>
    <col customWidth="1" hidden="1" min="10" max="10" style="1366" width="9.8515625"/>
    <col customWidth="1" hidden="1" min="11" max="11" style="1366" width="14.7109375"/>
    <col customWidth="1" hidden="1" min="12" max="12" style="2607" width="19.140625"/>
    <col customWidth="1" hidden="1" min="13" max="14" style="1776" width="12.28125"/>
    <col customWidth="1" hidden="1" min="15" max="15" style="1776" width="23.421875"/>
    <col customWidth="1" min="16" max="16" style="2397" width="3.00390625"/>
    <col customWidth="1" min="17" max="18" style="344" width="3.00390625"/>
    <col customWidth="1" min="19" max="19" style="2407" width="12.00390625"/>
    <col customWidth="1" min="20" max="20" style="1635" width="35.00390625"/>
    <col customWidth="1" min="21" max="21" style="1635" width="0.140625"/>
    <col customWidth="1" hidden="1" min="22" max="28" style="1635" width="19.7109375"/>
    <col customWidth="1" hidden="1" min="29" max="29" style="1635" width="11.7109375"/>
    <col customWidth="1" hidden="1" min="30" max="30" style="1635" width="3.7109375"/>
    <col customWidth="1" hidden="1" min="31" max="31" style="1635" width="11.7109375"/>
    <col customWidth="1" hidden="1" min="32" max="32" style="1635" width="8.57421875"/>
    <col customWidth="1" min="33" max="33" style="1635" width="19.7109375"/>
    <col customWidth="1" min="34" max="39" style="1635" width="19.00390625"/>
    <col customWidth="1" min="40" max="40" style="1635" width="11.00390625"/>
    <col customWidth="1" min="41" max="41" style="1635" width="3.7109375"/>
    <col customWidth="1" min="42" max="42" style="1635" width="11.00390625"/>
    <col customWidth="1" hidden="1" min="43" max="43" style="1635" width="8.57421875"/>
    <col customWidth="1" min="44" max="44" style="1635" width="4.00390625"/>
    <col customWidth="1" min="45" max="45" style="1635" width="115.00390625"/>
    <col customWidth="1" min="46" max="50" style="1642" width="10.00390625"/>
    <col hidden="1" min="51" max="51" style="1635" width="10.57421875"/>
  </cols>
  <sheetData>
    <row r="1" ht="22.5" hidden="1" customHeight="1">
      <c r="AC1" s="327"/>
      <c r="AN1" s="327"/>
      <c r="AY1" s="1155" t="s">
        <v>14</v>
      </c>
    </row>
    <row r="2" ht="23.25" hidden="1" customHeight="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127</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 xml:space="preserve">Наименование тарифа</v>
      </c>
      <c r="AW2" s="500"/>
      <c r="AX2" s="500"/>
      <c r="AY2" s="1155">
        <v>0</v>
      </c>
    </row>
    <row r="3" ht="23.25" hidden="1" customHeight="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399</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400</v>
      </c>
      <c r="AU3" s="500"/>
      <c r="AV3" s="500" t="str">
        <f>IF(T3="","",T3)</f>
        <v xml:space="preserve">Территория действия тарифа</v>
      </c>
      <c r="AW3" s="500"/>
      <c r="AX3" s="500"/>
      <c r="AY3" s="1155">
        <v>0</v>
      </c>
    </row>
    <row r="4" ht="23.25" hidden="1" customHeight="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532</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533</v>
      </c>
      <c r="AU4" s="500"/>
      <c r="AV4" s="500" t="str">
        <f>IF(T4="","",T4)</f>
        <v xml:space="preserve">Наименование централизованной системы горячего водоснабжения</v>
      </c>
      <c r="AW4" s="500"/>
      <c r="AX4" s="500"/>
      <c r="AY4" s="1155">
        <v>0</v>
      </c>
    </row>
    <row r="5" ht="23.25" hidden="1" customHeight="1">
      <c r="A5" s="1363"/>
      <c r="B5" s="1363"/>
      <c r="C5" s="1363"/>
      <c r="D5" s="1363"/>
      <c r="E5" s="2259"/>
      <c r="F5" s="2259"/>
      <c r="G5" s="2259"/>
      <c r="H5" s="2259"/>
      <c r="I5" s="2256">
        <f>S4&amp;".1"</f>
      </c>
      <c r="J5" s="1363"/>
      <c r="K5" s="1363"/>
      <c r="L5" s="1364"/>
      <c r="P5" s="2257">
        <v>1</v>
      </c>
      <c r="Q5" s="1481"/>
      <c r="R5" s="356"/>
      <c r="S5" s="1493">
        <f>$I5</f>
      </c>
      <c r="T5" s="285" t="s">
        <v>485</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486</v>
      </c>
      <c r="AU5" s="500"/>
      <c r="AV5" s="500" t="str">
        <f>IF(T5="","",T5)</f>
        <v xml:space="preserve">Наименование признака дифференциации</v>
      </c>
      <c r="AW5" s="500"/>
      <c r="AX5" s="500"/>
      <c r="AY5" s="1155">
        <v>0</v>
      </c>
    </row>
    <row r="6" ht="23.25" hidden="1" customHeight="1">
      <c r="A6" s="1363"/>
      <c r="B6" s="1363"/>
      <c r="C6" s="1363"/>
      <c r="D6" s="1363"/>
      <c r="E6" s="2259"/>
      <c r="F6" s="2259"/>
      <c r="G6" s="2259"/>
      <c r="H6" s="2259"/>
      <c r="I6" s="2286"/>
      <c r="J6" s="2256">
        <f>I5&amp;".1"</f>
      </c>
      <c r="K6" s="1363"/>
      <c r="L6" s="1364" t="s">
        <v>408</v>
      </c>
      <c r="P6" s="2257"/>
      <c r="Q6" s="2257">
        <v>1</v>
      </c>
      <c r="R6" s="357"/>
      <c r="S6" s="1493">
        <f>$J6</f>
      </c>
      <c r="T6" s="286" t="s">
        <v>409</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487</v>
      </c>
      <c r="AU6" s="500"/>
      <c r="AV6" s="500" t="str">
        <f>IF(T6="","",T6)</f>
        <v xml:space="preserve">Группа потребителей</v>
      </c>
      <c r="AW6" s="500"/>
      <c r="AX6" s="500"/>
      <c r="AY6" s="1155">
        <v>0</v>
      </c>
    </row>
    <row r="7" ht="23.25" hidden="1" customHeight="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65</v>
      </c>
      <c r="AE7" s="2265"/>
      <c r="AF7" s="2107" t="s">
        <v>65</v>
      </c>
      <c r="AG7" s="751"/>
      <c r="AH7" s="751"/>
      <c r="AI7" s="751"/>
      <c r="AJ7" s="751"/>
      <c r="AK7" s="751"/>
      <c r="AL7" s="751"/>
      <c r="AM7" s="751"/>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r="8" ht="14.25" hidden="1" customHeight="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r="9" ht="21" hidden="1" customHeight="1">
      <c r="A9" s="1363"/>
      <c r="B9" s="1363"/>
      <c r="C9" s="1363"/>
      <c r="D9" s="1363"/>
      <c r="E9" s="2259"/>
      <c r="F9" s="2259"/>
      <c r="G9" s="2259"/>
      <c r="H9" s="2259"/>
      <c r="I9" s="2286"/>
      <c r="J9" s="2256"/>
      <c r="K9" s="1363"/>
      <c r="L9" s="1364"/>
      <c r="P9" s="2257"/>
      <c r="Q9" s="2257"/>
      <c r="R9" s="356"/>
      <c r="S9" s="1278"/>
      <c r="T9" s="287" t="s">
        <v>488</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489</v>
      </c>
      <c r="AU9" s="500"/>
      <c r="AV9" s="500" t="str">
        <f>IF(T9="","",T9)</f>
        <v xml:space="preserve">Добавить значение признака дифференциации</v>
      </c>
      <c r="AW9" s="500"/>
      <c r="AX9" s="500"/>
      <c r="AY9" s="1155">
        <v>0</v>
      </c>
    </row>
    <row r="10" ht="21" hidden="1" customHeight="1">
      <c r="A10" s="1363"/>
      <c r="B10" s="1363"/>
      <c r="C10" s="1363"/>
      <c r="D10" s="1363"/>
      <c r="E10" s="2259"/>
      <c r="F10" s="2259"/>
      <c r="G10" s="2259"/>
      <c r="H10" s="2259"/>
      <c r="I10" s="2256"/>
      <c r="J10" s="1363"/>
      <c r="K10" s="1363"/>
      <c r="L10" s="1364"/>
      <c r="P10" s="2257"/>
      <c r="Q10" s="1481"/>
      <c r="R10" s="356"/>
      <c r="S10" s="1278"/>
      <c r="T10" s="365" t="s">
        <v>414</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 xml:space="preserve">Добавить группу потребителей</v>
      </c>
      <c r="AW10" s="500"/>
      <c r="AX10" s="500"/>
      <c r="AY10" s="1155">
        <v>0</v>
      </c>
    </row>
    <row r="11" ht="21" hidden="1" customHeight="1">
      <c r="A11" s="1363"/>
      <c r="B11" s="1363"/>
      <c r="C11" s="1363"/>
      <c r="D11" s="1363"/>
      <c r="E11" s="2259"/>
      <c r="F11" s="2259"/>
      <c r="G11" s="2259"/>
      <c r="H11" s="2258"/>
      <c r="I11" s="1363"/>
      <c r="J11" s="1363"/>
      <c r="K11" s="1363"/>
      <c r="L11" s="1364"/>
      <c r="M11" s="1365"/>
      <c r="N11" s="1365"/>
      <c r="O11" s="537"/>
      <c r="P11" s="360"/>
      <c r="Q11" s="375"/>
      <c r="R11" s="355"/>
      <c r="S11" s="1278"/>
      <c r="T11" s="372" t="s">
        <v>490</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 xml:space="preserve">Добавить наименование признака дифференциации</v>
      </c>
      <c r="AW11" s="500"/>
      <c r="AX11" s="500"/>
      <c r="AY11" s="1155">
        <v>0</v>
      </c>
    </row>
    <row r="12" s="1642" customFormat="1" ht="14.25" hidden="1" customHeight="1">
      <c r="A12" s="1343"/>
      <c r="B12" s="1343"/>
      <c r="C12" s="1314"/>
      <c r="D12" s="1314"/>
      <c r="E12" s="2259"/>
      <c r="F12" s="2258"/>
      <c r="G12" s="1314"/>
      <c r="H12" s="1314"/>
      <c r="I12" s="1314"/>
      <c r="J12" s="1314"/>
      <c r="K12" s="1314"/>
      <c r="L12" s="1494"/>
      <c r="M12" s="1321"/>
      <c r="N12" s="1321"/>
      <c r="P12" s="1316"/>
      <c r="Q12" s="1317"/>
      <c r="R12" s="1316"/>
      <c r="S12" s="1322"/>
      <c r="T12" s="1325" t="s">
        <v>417</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 xml:space="preserve">Добавить централизованную систему для дифференциации</v>
      </c>
      <c r="AW12" s="789"/>
      <c r="AX12" s="789"/>
      <c r="AY12" s="518">
        <v>0</v>
      </c>
    </row>
    <row r="13" s="1642" customFormat="1" ht="14.25" hidden="1" customHeight="1">
      <c r="A13" s="1343"/>
      <c r="B13" s="1343"/>
      <c r="C13" s="1343"/>
      <c r="D13" s="1343"/>
      <c r="E13" s="2258"/>
      <c r="F13" s="1343"/>
      <c r="G13" s="1343"/>
      <c r="H13" s="1343"/>
      <c r="I13" s="1343"/>
      <c r="J13" s="1343"/>
      <c r="K13" s="1343"/>
      <c r="L13" s="1346"/>
      <c r="M13" s="1321"/>
      <c r="N13" s="1321"/>
      <c r="O13" s="518"/>
      <c r="P13" s="380"/>
      <c r="Q13" s="1344"/>
      <c r="R13" s="380"/>
      <c r="S13" s="1322"/>
      <c r="T13" s="1325" t="s">
        <v>418</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 xml:space="preserve">Добавить территорию для дифференциации</v>
      </c>
      <c r="AW13" s="500"/>
      <c r="AX13" s="500"/>
      <c r="AY13" s="511">
        <v>0</v>
      </c>
    </row>
    <row r="14" ht="14.25" hidden="1" customHeight="1">
      <c r="AF14" s="327"/>
      <c r="AQ14" s="327"/>
      <c r="AY14" s="1155">
        <v>0</v>
      </c>
    </row>
    <row r="15" ht="14.25" hidden="1" customHeight="1">
      <c r="AG15" s="1360"/>
      <c r="AH15" s="1360"/>
      <c r="AI15" s="1360"/>
      <c r="AJ15" s="1360"/>
      <c r="AK15" s="1360"/>
      <c r="AL15" s="1360"/>
      <c r="AM15" s="1360"/>
      <c r="AN15" s="2267"/>
      <c r="AO15" s="2268" t="s">
        <v>65</v>
      </c>
      <c r="AP15" s="2267"/>
      <c r="AQ15" s="2268" t="s">
        <v>65</v>
      </c>
      <c r="AY15" s="1155">
        <v>0</v>
      </c>
    </row>
    <row r="16" ht="14.25" hidden="1" customHeight="1">
      <c r="AG16" s="1360"/>
      <c r="AH16" s="1360"/>
      <c r="AI16" s="1360"/>
      <c r="AJ16" s="1360"/>
      <c r="AK16" s="1360"/>
      <c r="AL16" s="1360"/>
      <c r="AM16" s="1360"/>
      <c r="AN16" s="2268"/>
      <c r="AO16" s="2268"/>
      <c r="AP16" s="2268"/>
      <c r="AQ16" s="2268"/>
      <c r="AY16" s="1155">
        <v>0</v>
      </c>
    </row>
    <row r="17" ht="14.25" hidden="1" customHeight="1">
      <c r="AQ17" s="327"/>
      <c r="AY17" s="1155">
        <v>0</v>
      </c>
    </row>
    <row r="18" s="1366" customFormat="1" ht="22.5" hidden="1" customHeight="1">
      <c r="L18" s="1478"/>
      <c r="M18" s="1362"/>
      <c r="N18" s="1362"/>
      <c r="O18" s="1367" t="s">
        <v>419</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r="19" s="1366" customFormat="1" ht="14.25" hidden="1" customHeight="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r="20" s="1366" customFormat="1" ht="12" hidden="1" customHeight="1">
      <c r="L20" s="1478"/>
      <c r="M20" s="1362"/>
      <c r="N20" s="1362"/>
      <c r="O20" s="1364" t="s">
        <v>420</v>
      </c>
      <c r="P20" s="1362"/>
      <c r="Q20" s="1442"/>
      <c r="R20" s="1442"/>
      <c r="S20" s="729"/>
      <c r="T20" s="1160" t="s">
        <v>421</v>
      </c>
      <c r="W20" s="1366"/>
      <c r="X20" s="1366"/>
      <c r="Y20" s="1366"/>
      <c r="Z20" s="1366"/>
      <c r="AA20" s="1366"/>
      <c r="AB20" s="1366"/>
      <c r="AD20" s="186" t="s">
        <v>422</v>
      </c>
      <c r="AF20" s="186" t="s">
        <v>423</v>
      </c>
      <c r="AG20" s="1160" t="s">
        <v>421</v>
      </c>
      <c r="AH20" s="1366"/>
      <c r="AI20" s="1366"/>
      <c r="AJ20" s="1366"/>
      <c r="AK20" s="1366"/>
      <c r="AL20" s="1366"/>
      <c r="AO20" s="186" t="s">
        <v>424</v>
      </c>
      <c r="AQ20" s="186" t="s">
        <v>423</v>
      </c>
      <c r="AY20" s="1160">
        <v>0</v>
      </c>
    </row>
    <row r="21" ht="14.25" hidden="1" customHeight="1">
      <c r="O21" s="1364"/>
      <c r="AY21" s="1155">
        <v>0</v>
      </c>
    </row>
    <row r="22" ht="14.25" hidden="1" customHeight="1">
      <c r="O22" s="1364"/>
      <c r="AY22" s="1155">
        <v>0</v>
      </c>
    </row>
    <row r="23" ht="14.65" customHeight="1">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r="24" ht="26.25" customHeight="1">
      <c r="Q24" s="376"/>
      <c r="R24" s="376"/>
      <c r="S24" s="2248" t="str">
        <f>IF(TEMPLATE_GROUP="P",PT_P_FORM_HOTVSNA_4_NAME_FORM,PT_R_FORM_HOTVSNA_16_NAME_FORM)</f>
        <v xml:space="preserve">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r="25" ht="14.65" customHeight="1">
      <c r="Q25" s="376"/>
      <c r="R25" s="376"/>
      <c r="S25" s="2249" t="str">
        <f>IF(org=0,"Не определено",org)</f>
        <v xml:space="preserve">филиал ПАО "ОГК-2" - Рязанская ГРЭС</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r="26" ht="14.25" hidden="1" customHeight="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r="27" s="1853" customFormat="1" ht="25.5" hidden="1" customHeight="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r="28" s="1853" customFormat="1" ht="18.75" hidden="1" customHeight="1">
      <c r="A28" s="1368"/>
      <c r="B28" s="1368"/>
      <c r="C28" s="1368"/>
      <c r="D28" s="1368"/>
      <c r="E28" s="1368"/>
      <c r="F28" s="1368"/>
      <c r="G28" s="1368"/>
      <c r="H28" s="1368"/>
      <c r="I28" s="1368"/>
      <c r="J28" s="1368"/>
      <c r="K28" s="1368"/>
      <c r="L28" s="1369"/>
      <c r="M28" s="1368"/>
      <c r="N28" s="1368"/>
      <c r="O28" s="1368"/>
      <c r="S28" s="2250" t="s">
        <v>425</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r="29" s="1853" customFormat="1" ht="18.75" hidden="1" customHeight="1">
      <c r="A29" s="1368"/>
      <c r="B29" s="1368"/>
      <c r="C29" s="1368"/>
      <c r="D29" s="1368"/>
      <c r="E29" s="1368"/>
      <c r="F29" s="1368"/>
      <c r="G29" s="1368"/>
      <c r="H29" s="1368"/>
      <c r="I29" s="1368"/>
      <c r="J29" s="1368"/>
      <c r="K29" s="1368"/>
      <c r="L29" s="1369"/>
      <c r="M29" s="1368"/>
      <c r="N29" s="1368"/>
      <c r="O29" s="1368"/>
      <c r="S29" s="2250" t="s">
        <v>426</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r="30" s="1853" customFormat="1" ht="18.75" hidden="1" customHeight="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r="31" ht="14.25" hidden="1" customHeight="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r="32" s="1853" customFormat="1" ht="18.75" hidden="1" customHeight="1">
      <c r="A32" s="1368"/>
      <c r="B32" s="1368"/>
      <c r="C32" s="1368"/>
      <c r="D32" s="1368"/>
      <c r="E32" s="1368"/>
      <c r="F32" s="1368"/>
      <c r="G32" s="1368"/>
      <c r="H32" s="1368"/>
      <c r="I32" s="1368"/>
      <c r="J32" s="1368"/>
      <c r="K32" s="1368"/>
      <c r="L32" s="1369"/>
      <c r="M32" s="1368"/>
      <c r="N32" s="1368"/>
      <c r="O32" s="1368"/>
      <c r="S32" s="2250" t="s">
        <v>427</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r="33" s="1853" customFormat="1" ht="18.75" hidden="1" customHeight="1">
      <c r="A33" s="1368"/>
      <c r="B33" s="1368"/>
      <c r="C33" s="1368"/>
      <c r="D33" s="1368"/>
      <c r="E33" s="1368"/>
      <c r="F33" s="1368"/>
      <c r="G33" s="1368"/>
      <c r="H33" s="1368"/>
      <c r="I33" s="1368"/>
      <c r="J33" s="1368"/>
      <c r="K33" s="1368"/>
      <c r="L33" s="1369"/>
      <c r="M33" s="1368"/>
      <c r="N33" s="1368"/>
      <c r="O33" s="1368"/>
      <c r="S33" s="2250" t="s">
        <v>428</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r="34" s="1853" customFormat="1" ht="1.05" customHeight="1">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429</v>
      </c>
      <c r="AG34" s="326"/>
      <c r="AH34" s="1635"/>
      <c r="AI34" s="1635"/>
      <c r="AJ34" s="1635"/>
      <c r="AK34" s="1635"/>
      <c r="AL34" s="1635"/>
      <c r="AM34" s="326"/>
      <c r="AN34" s="326"/>
      <c r="AO34" s="326"/>
      <c r="AP34" s="326"/>
      <c r="AQ34" s="278" t="s">
        <v>429</v>
      </c>
      <c r="AT34" s="368"/>
      <c r="AU34" s="368"/>
      <c r="AV34" s="368"/>
      <c r="AW34" s="368"/>
      <c r="AX34" s="368"/>
      <c r="AY34" s="418">
        <v>1</v>
      </c>
    </row>
    <row r="35" ht="14.65" customHeight="1">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r="36" ht="14.65" customHeight="1">
      <c r="Q36" s="376"/>
      <c r="R36" s="376"/>
      <c r="S36" s="2127" t="s">
        <v>302</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303</v>
      </c>
      <c r="AY36" s="1155">
        <v>14</v>
      </c>
    </row>
    <row r="37" ht="14.65" customHeight="1">
      <c r="Q37" s="376"/>
      <c r="R37" s="376"/>
      <c r="S37" s="2273" t="s">
        <v>87</v>
      </c>
      <c r="T37" s="2209" t="s">
        <v>430</v>
      </c>
      <c r="U37" s="301"/>
      <c r="V37" s="2274" t="s">
        <v>431</v>
      </c>
      <c r="W37" s="2291"/>
      <c r="X37" s="2291"/>
      <c r="Y37" s="2291"/>
      <c r="Z37" s="2291"/>
      <c r="AA37" s="2291"/>
      <c r="AB37" s="2291"/>
      <c r="AC37" s="2275"/>
      <c r="AD37" s="2275"/>
      <c r="AE37" s="2276"/>
      <c r="AF37" s="2277" t="s">
        <v>432</v>
      </c>
      <c r="AG37" s="2274" t="s">
        <v>431</v>
      </c>
      <c r="AH37" s="2275"/>
      <c r="AI37" s="2275"/>
      <c r="AJ37" s="2275"/>
      <c r="AK37" s="2275"/>
      <c r="AL37" s="2275"/>
      <c r="AM37" s="2275"/>
      <c r="AN37" s="2275"/>
      <c r="AO37" s="2275"/>
      <c r="AP37" s="2276"/>
      <c r="AQ37" s="2277" t="s">
        <v>433</v>
      </c>
      <c r="AR37" s="2280" t="s">
        <v>434</v>
      </c>
      <c r="AS37" s="2127"/>
      <c r="AY37" s="1155">
        <v>14</v>
      </c>
    </row>
    <row r="38" ht="19.949999999999999" customHeight="1">
      <c r="Q38" s="376"/>
      <c r="R38" s="376"/>
      <c r="S38" s="2273"/>
      <c r="T38" s="2209"/>
      <c r="U38" s="1031"/>
      <c r="V38" s="2366" t="s">
        <v>534</v>
      </c>
      <c r="W38" s="2365" t="s">
        <v>535</v>
      </c>
      <c r="X38" s="2365"/>
      <c r="Y38" s="2365"/>
      <c r="Z38" s="2365" t="s">
        <v>536</v>
      </c>
      <c r="AA38" s="2365"/>
      <c r="AB38" s="2365"/>
      <c r="AC38" s="2294" t="s">
        <v>438</v>
      </c>
      <c r="AD38" s="2313"/>
      <c r="AE38" s="2314"/>
      <c r="AF38" s="2278"/>
      <c r="AG38" s="2366" t="s">
        <v>534</v>
      </c>
      <c r="AH38" s="2365" t="s">
        <v>535</v>
      </c>
      <c r="AI38" s="2365"/>
      <c r="AJ38" s="2365"/>
      <c r="AK38" s="2365" t="s">
        <v>536</v>
      </c>
      <c r="AL38" s="2365"/>
      <c r="AM38" s="2365"/>
      <c r="AN38" s="2294" t="s">
        <v>438</v>
      </c>
      <c r="AO38" s="2313"/>
      <c r="AP38" s="2314"/>
      <c r="AQ38" s="2278"/>
      <c r="AR38" s="2281"/>
      <c r="AS38" s="2127"/>
      <c r="AY38" s="1155">
        <v>19</v>
      </c>
    </row>
    <row r="39" s="1635" customFormat="1" ht="19.949999999999999" customHeight="1">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537</v>
      </c>
      <c r="X39" s="2365" t="s">
        <v>538</v>
      </c>
      <c r="Y39" s="2365"/>
      <c r="Z39" s="2365" t="s">
        <v>539</v>
      </c>
      <c r="AA39" s="2365" t="s">
        <v>538</v>
      </c>
      <c r="AB39" s="2365"/>
      <c r="AC39" s="2295"/>
      <c r="AD39" s="2315"/>
      <c r="AE39" s="2316"/>
      <c r="AF39" s="2278"/>
      <c r="AG39" s="2366"/>
      <c r="AH39" s="2365" t="s">
        <v>537</v>
      </c>
      <c r="AI39" s="2365" t="s">
        <v>538</v>
      </c>
      <c r="AJ39" s="2365"/>
      <c r="AK39" s="2365" t="s">
        <v>539</v>
      </c>
      <c r="AL39" s="2365" t="s">
        <v>538</v>
      </c>
      <c r="AM39" s="2365"/>
      <c r="AN39" s="2295"/>
      <c r="AO39" s="2315"/>
      <c r="AP39" s="2316"/>
      <c r="AQ39" s="2278"/>
      <c r="AR39" s="2281"/>
      <c r="AS39" s="2127"/>
      <c r="AT39" s="1636"/>
      <c r="AU39" s="1636"/>
      <c r="AV39" s="1636"/>
      <c r="AW39" s="1636"/>
      <c r="AX39" s="1636"/>
      <c r="AY39" s="1631">
        <v>19</v>
      </c>
    </row>
    <row r="40" ht="61.950000000000003" customHeight="1">
      <c r="A40" s="1370"/>
      <c r="B40" s="1370" t="s">
        <v>139</v>
      </c>
      <c r="C40" s="1370" t="s">
        <v>140</v>
      </c>
      <c r="D40" s="1370" t="s">
        <v>141</v>
      </c>
      <c r="E40" s="1364" t="s">
        <v>439</v>
      </c>
      <c r="F40" s="1364" t="s">
        <v>440</v>
      </c>
      <c r="G40" s="1364" t="s">
        <v>441</v>
      </c>
      <c r="H40" s="1364"/>
      <c r="I40" s="1364" t="s">
        <v>492</v>
      </c>
      <c r="J40" s="1364" t="s">
        <v>444</v>
      </c>
      <c r="K40" s="1364" t="s">
        <v>493</v>
      </c>
      <c r="L40" s="1364" t="s">
        <v>420</v>
      </c>
      <c r="Q40" s="376"/>
      <c r="R40" s="376"/>
      <c r="S40" s="2273"/>
      <c r="T40" s="2209"/>
      <c r="U40" s="302"/>
      <c r="V40" s="2366"/>
      <c r="W40" s="2365"/>
      <c r="X40" s="1983" t="s">
        <v>540</v>
      </c>
      <c r="Y40" s="1983" t="s">
        <v>541</v>
      </c>
      <c r="Z40" s="2365"/>
      <c r="AA40" s="1983" t="s">
        <v>542</v>
      </c>
      <c r="AB40" s="1983" t="s">
        <v>543</v>
      </c>
      <c r="AC40" s="1489" t="s">
        <v>448</v>
      </c>
      <c r="AD40" s="2270" t="s">
        <v>449</v>
      </c>
      <c r="AE40" s="2271"/>
      <c r="AF40" s="2279"/>
      <c r="AG40" s="2366"/>
      <c r="AH40" s="2365"/>
      <c r="AI40" s="1983" t="s">
        <v>540</v>
      </c>
      <c r="AJ40" s="1983" t="s">
        <v>541</v>
      </c>
      <c r="AK40" s="2365"/>
      <c r="AL40" s="1983" t="s">
        <v>542</v>
      </c>
      <c r="AM40" s="1983" t="s">
        <v>543</v>
      </c>
      <c r="AN40" s="1489" t="s">
        <v>448</v>
      </c>
      <c r="AO40" s="2270" t="s">
        <v>449</v>
      </c>
      <c r="AP40" s="2271"/>
      <c r="AQ40" s="2279"/>
      <c r="AR40" s="2282"/>
      <c r="AS40" s="2127"/>
      <c r="AY40" s="1155">
        <v>59</v>
      </c>
    </row>
    <row r="41" s="1641" customFormat="1" ht="11.25" hidden="1" customHeight="1">
      <c r="A41" s="1370"/>
      <c r="B41" s="1370"/>
      <c r="C41" s="1370"/>
      <c r="D41" s="1370"/>
      <c r="E41" s="1370"/>
      <c r="F41" s="1370"/>
      <c r="G41" s="1370"/>
      <c r="H41" s="1370"/>
      <c r="I41" s="1370"/>
      <c r="J41" s="1370"/>
      <c r="K41" s="1370"/>
      <c r="L41" s="1364"/>
      <c r="M41" s="1362"/>
      <c r="N41" s="1362"/>
      <c r="O41" s="1362"/>
      <c r="P41" s="1246"/>
      <c r="Q41" s="1247"/>
      <c r="R41" s="1254">
        <v>1</v>
      </c>
      <c r="S41" s="1277" t="s">
        <v>109</v>
      </c>
      <c r="T41" s="1255" t="s">
        <v>110</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r="42" ht="24" customHeight="1">
      <c r="A42" s="1363" t="s">
        <v>253</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127</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 xml:space="preserve">Наименование тарифа</v>
      </c>
      <c r="AW42" s="500"/>
      <c r="AX42" s="500"/>
      <c r="AY42" s="1155">
        <v>23</v>
      </c>
    </row>
    <row r="43" ht="24" customHeight="1">
      <c r="A43" s="1363" t="s">
        <v>253</v>
      </c>
      <c r="B43" s="1363" t="s">
        <v>254</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399</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400</v>
      </c>
      <c r="AU43" s="500"/>
      <c r="AV43" s="500" t="str">
        <f>IF(T43="","",T43)</f>
        <v xml:space="preserve">Территория действия тарифа</v>
      </c>
      <c r="AW43" s="500"/>
      <c r="AX43" s="500"/>
      <c r="AY43" s="1155">
        <v>23</v>
      </c>
    </row>
    <row r="44" ht="24" customHeight="1">
      <c r="A44" s="1363" t="s">
        <v>253</v>
      </c>
      <c r="B44" s="1363" t="s">
        <v>254</v>
      </c>
      <c r="C44" s="1363" t="s">
        <v>255</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532</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533</v>
      </c>
      <c r="AU44" s="500"/>
      <c r="AV44" s="500" t="str">
        <f>IF(T44="","",T44)</f>
        <v xml:space="preserve">Наименование централизованной системы горячего водоснабжения</v>
      </c>
      <c r="AW44" s="500"/>
      <c r="AX44" s="500"/>
      <c r="AY44" s="1155">
        <v>23</v>
      </c>
    </row>
    <row r="45" ht="24" customHeight="1">
      <c r="A45" s="1363" t="s">
        <v>253</v>
      </c>
      <c r="B45" s="1363" t="s">
        <v>254</v>
      </c>
      <c r="C45" s="1363" t="s">
        <v>255</v>
      </c>
      <c r="D45" s="1363" t="s">
        <v>544</v>
      </c>
      <c r="E45" s="2259"/>
      <c r="F45" s="2259"/>
      <c r="G45" s="2259"/>
      <c r="H45" s="2259"/>
      <c r="I45" s="2256" t="str">
        <f>S44&amp;".1"</f>
        <v>...1</v>
      </c>
      <c r="J45" s="1363"/>
      <c r="K45" s="1363"/>
      <c r="L45" s="1364"/>
      <c r="P45" s="2257">
        <v>1</v>
      </c>
      <c r="Q45" s="1481"/>
      <c r="R45" s="356"/>
      <c r="S45" s="1493" t="str">
        <f>$I45</f>
        <v>...1</v>
      </c>
      <c r="T45" s="285" t="s">
        <v>485</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486</v>
      </c>
      <c r="AU45" s="500"/>
      <c r="AV45" s="500" t="str">
        <f>IF(T45="","",T45)</f>
        <v xml:space="preserve">Наименование признака дифференциации</v>
      </c>
      <c r="AW45" s="500"/>
      <c r="AX45" s="500"/>
      <c r="AY45" s="1155">
        <v>23</v>
      </c>
    </row>
    <row r="46" ht="24" customHeight="1">
      <c r="A46" s="1363" t="s">
        <v>253</v>
      </c>
      <c r="B46" s="1363" t="s">
        <v>254</v>
      </c>
      <c r="C46" s="1363" t="s">
        <v>255</v>
      </c>
      <c r="D46" s="1363" t="s">
        <v>544</v>
      </c>
      <c r="E46" s="2259"/>
      <c r="F46" s="2259"/>
      <c r="G46" s="2259"/>
      <c r="H46" s="2259"/>
      <c r="I46" s="2286"/>
      <c r="J46" s="2256" t="str">
        <f>I45&amp;".1"</f>
        <v>...1.1</v>
      </c>
      <c r="K46" s="1363"/>
      <c r="L46" s="1364" t="s">
        <v>408</v>
      </c>
      <c r="P46" s="2257"/>
      <c r="Q46" s="2257">
        <v>1</v>
      </c>
      <c r="R46" s="357"/>
      <c r="S46" s="1493" t="str">
        <f>$J46</f>
        <v>...1.1</v>
      </c>
      <c r="T46" s="286" t="s">
        <v>409</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487</v>
      </c>
      <c r="AU46" s="500"/>
      <c r="AV46" s="500" t="str">
        <f>IF(T46="","",T46)</f>
        <v xml:space="preserve">Группа потребителей</v>
      </c>
      <c r="AW46" s="500"/>
      <c r="AX46" s="500"/>
      <c r="AY46" s="1155">
        <v>23</v>
      </c>
    </row>
    <row r="47" ht="24" customHeight="1">
      <c r="A47" s="1363" t="s">
        <v>253</v>
      </c>
      <c r="B47" s="1363" t="s">
        <v>254</v>
      </c>
      <c r="C47" s="1363" t="s">
        <v>255</v>
      </c>
      <c r="D47" s="1363" t="s">
        <v>544</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65</v>
      </c>
      <c r="AE47" s="2267"/>
      <c r="AF47" s="2268" t="s">
        <v>65</v>
      </c>
      <c r="AG47" s="751"/>
      <c r="AH47" s="751"/>
      <c r="AI47" s="751"/>
      <c r="AJ47" s="751"/>
      <c r="AK47" s="751"/>
      <c r="AL47" s="751"/>
      <c r="AM47" s="751"/>
      <c r="AN47" s="2265"/>
      <c r="AO47" s="2107" t="s">
        <v>65</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r="48" ht="0" customHeight="1">
      <c r="A48" s="1363" t="s">
        <v>253</v>
      </c>
      <c r="B48" s="1363" t="s">
        <v>254</v>
      </c>
      <c r="C48" s="1363" t="s">
        <v>255</v>
      </c>
      <c r="D48" s="1363" t="s">
        <v>544</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r="49" ht="21" customHeight="1">
      <c r="A49" s="1363" t="s">
        <v>253</v>
      </c>
      <c r="B49" s="1363" t="s">
        <v>254</v>
      </c>
      <c r="C49" s="1363" t="s">
        <v>255</v>
      </c>
      <c r="D49" s="1363" t="s">
        <v>544</v>
      </c>
      <c r="E49" s="2259"/>
      <c r="F49" s="2259"/>
      <c r="G49" s="2259"/>
      <c r="H49" s="2259"/>
      <c r="I49" s="2286"/>
      <c r="J49" s="2256"/>
      <c r="K49" s="1363"/>
      <c r="L49" s="1364"/>
      <c r="P49" s="2257"/>
      <c r="Q49" s="2257"/>
      <c r="R49" s="356"/>
      <c r="S49" s="1278"/>
      <c r="T49" s="287" t="s">
        <v>488</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489</v>
      </c>
      <c r="AU49" s="500"/>
      <c r="AV49" s="500" t="str">
        <f>IF(T49="","",T49)</f>
        <v xml:space="preserve">Добавить значение признака дифференциации</v>
      </c>
      <c r="AW49" s="500"/>
      <c r="AX49" s="500"/>
      <c r="AY49" s="1155">
        <v>20</v>
      </c>
    </row>
    <row r="50" ht="22" customHeight="1">
      <c r="A50" s="1363" t="s">
        <v>253</v>
      </c>
      <c r="B50" s="1363" t="s">
        <v>254</v>
      </c>
      <c r="C50" s="1363" t="s">
        <v>255</v>
      </c>
      <c r="D50" s="1363" t="s">
        <v>544</v>
      </c>
      <c r="E50" s="2259"/>
      <c r="F50" s="2259"/>
      <c r="G50" s="2259"/>
      <c r="H50" s="2259"/>
      <c r="I50" s="2256"/>
      <c r="J50" s="1363"/>
      <c r="K50" s="1363"/>
      <c r="L50" s="1364"/>
      <c r="P50" s="2257"/>
      <c r="Q50" s="1481"/>
      <c r="R50" s="356"/>
      <c r="S50" s="1278"/>
      <c r="T50" s="365" t="s">
        <v>414</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 xml:space="preserve">Добавить группу потребителей</v>
      </c>
      <c r="AW50" s="500"/>
      <c r="AX50" s="500"/>
      <c r="AY50" s="1155">
        <v>21</v>
      </c>
    </row>
    <row r="51" ht="22" customHeight="1">
      <c r="A51" s="1363" t="s">
        <v>253</v>
      </c>
      <c r="B51" s="1363" t="s">
        <v>254</v>
      </c>
      <c r="C51" s="1363" t="s">
        <v>255</v>
      </c>
      <c r="D51" s="1363" t="s">
        <v>544</v>
      </c>
      <c r="E51" s="2259"/>
      <c r="F51" s="2259"/>
      <c r="G51" s="2259"/>
      <c r="H51" s="2258"/>
      <c r="I51" s="1363"/>
      <c r="J51" s="1363"/>
      <c r="K51" s="1363"/>
      <c r="L51" s="1364"/>
      <c r="M51" s="1365"/>
      <c r="N51" s="1365"/>
      <c r="O51" s="537"/>
      <c r="P51" s="360"/>
      <c r="Q51" s="375"/>
      <c r="R51" s="355"/>
      <c r="S51" s="1278"/>
      <c r="T51" s="372" t="s">
        <v>490</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 xml:space="preserve">Добавить наименование признака дифференциации</v>
      </c>
      <c r="AW51" s="500"/>
      <c r="AX51" s="500"/>
      <c r="AY51" s="1155">
        <v>21</v>
      </c>
    </row>
    <row r="52" s="1642" customFormat="1" ht="0" customHeight="1">
      <c r="A52" s="1343" t="s">
        <v>253</v>
      </c>
      <c r="B52" s="1343" t="s">
        <v>254</v>
      </c>
      <c r="C52" s="1314"/>
      <c r="D52" s="1314"/>
      <c r="E52" s="2259"/>
      <c r="F52" s="2258"/>
      <c r="G52" s="1314"/>
      <c r="H52" s="1314"/>
      <c r="I52" s="1314"/>
      <c r="J52" s="1314"/>
      <c r="K52" s="1314"/>
      <c r="L52" s="1494"/>
      <c r="M52" s="1321"/>
      <c r="N52" s="1321"/>
      <c r="P52" s="1316"/>
      <c r="Q52" s="1317"/>
      <c r="R52" s="1316"/>
      <c r="S52" s="1322"/>
      <c r="T52" s="1325" t="s">
        <v>417</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 xml:space="preserve">Добавить централизованную систему для дифференциации</v>
      </c>
      <c r="AW52" s="789"/>
      <c r="AX52" s="789"/>
      <c r="AY52" s="518">
        <v>0</v>
      </c>
    </row>
    <row r="53" s="1642" customFormat="1" ht="0" customHeight="1">
      <c r="A53" s="1343" t="s">
        <v>253</v>
      </c>
      <c r="B53" s="1343"/>
      <c r="C53" s="1343"/>
      <c r="D53" s="1343"/>
      <c r="E53" s="2258"/>
      <c r="F53" s="1343"/>
      <c r="G53" s="1343"/>
      <c r="H53" s="1343"/>
      <c r="I53" s="1343"/>
      <c r="J53" s="1343"/>
      <c r="K53" s="1343"/>
      <c r="L53" s="1346"/>
      <c r="M53" s="1321"/>
      <c r="N53" s="1321"/>
      <c r="O53" s="518"/>
      <c r="P53" s="380"/>
      <c r="Q53" s="1344"/>
      <c r="R53" s="380"/>
      <c r="S53" s="1322"/>
      <c r="T53" s="1325" t="s">
        <v>418</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 xml:space="preserve">Добавить территорию для дифференциации</v>
      </c>
      <c r="AW53" s="500"/>
      <c r="AX53" s="500"/>
      <c r="AY53" s="511">
        <v>0</v>
      </c>
    </row>
    <row r="54" s="1642" customFormat="1" ht="0" customHeight="1">
      <c r="A54" s="1314"/>
      <c r="B54" s="1314"/>
      <c r="C54" s="1314"/>
      <c r="D54" s="1314"/>
      <c r="E54" s="1343"/>
      <c r="F54" s="1314"/>
      <c r="G54" s="1314"/>
      <c r="H54" s="1314"/>
      <c r="I54" s="1314"/>
      <c r="J54" s="1314"/>
      <c r="K54" s="1314"/>
      <c r="L54" s="1494"/>
      <c r="M54" s="1321"/>
      <c r="N54" s="1321"/>
      <c r="P54" s="1316"/>
      <c r="Q54" s="1317"/>
      <c r="R54" s="1316"/>
      <c r="S54" s="1322"/>
      <c r="T54" s="1325" t="s">
        <v>450</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 xml:space="preserve">Добавить наименование тарифа</v>
      </c>
      <c r="AW54" s="789"/>
      <c r="AX54" s="789"/>
      <c r="AY54" s="518">
        <v>0</v>
      </c>
    </row>
    <row r="55" ht="11.5" customHeight="1">
      <c r="M55" s="1160"/>
      <c r="N55" s="1160"/>
      <c r="O55" s="537"/>
      <c r="P55" s="1155"/>
      <c r="Q55" s="1155"/>
      <c r="R55" s="1155"/>
      <c r="S55" s="1155"/>
      <c r="AT55" s="1155"/>
      <c r="AU55" s="1155"/>
      <c r="AV55" s="1155"/>
      <c r="AW55" s="1155"/>
      <c r="AX55" s="1155"/>
      <c r="AY55" s="1155">
        <v>11</v>
      </c>
    </row>
    <row r="56" ht="14.65" customHeight="1">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r="57" ht="14.65" customHeight="1">
      <c r="O57" s="537"/>
      <c r="AY57" s="1155">
        <v>14</v>
      </c>
    </row>
    <row r="58" ht="14.65" customHeight="1">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r="59" ht="22.5" hidden="1" customHeight="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autoFilter="0" deleteColumns="0" deleteRows="0" formatColumns="0" formatRows="0" insertColumns="1" insertRows="0" sort="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3">
    <dataValidation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allowBlank="1" prompt="Для выбора выполните двойной щелчок левой клавиши мыши по соответствующей ячейке." showErrorMessage="1" showInputMessage="1"/>
    <dataValidation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allowBlank="1" prompt="Выберите дату из календаря (иконка справа от указанной ячейки), либо введите дату непосредственно в ячейку в формате - 'ДД.ММ.ГГГГ'." showErrorMessage="1" showInputMessage="1"/>
    <dataValidation sqref="S131117:AS131123 S196653:AS196659 S262189:AS262195 S327725:AS327731 S393261:AS393267 S458797:AS458803 S524333:AS524339 S589869:AS589875 S655405:AS655411 S720941:AS720947 S786477:AS786483 S852013:AS852019 S917549:AS917555 S983085:AS983091 S65581:AS65587" allowBlank="1"/>
  </dataValidations>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x14:dataValidation xr:uid="{00970050-00A0-46CE-B817-000F00120013}" type="list" allowBlank="1" error="Выберите значение из списка" errorTitle="Ошибка" showErrorMessage="1" showInputMessage="1">
          <x14:formula1>
            <xm:f>kind_of_heat_transfer</xm:f>
          </x14:formula1>
          <xm:sqref>T65579 T131115 T196651 T262187 T327723 T393259 T458795 T524331 T589867 T655403 T720939 T786475 T852011 T917547 T983083</xm:sqref>
        </x14:dataValidation>
        <x14:dataValidation xr:uid="{0079005A-0048-40AF-AA91-00DA004D00C4}" type="textLength" allowBlank="1" error="Допускается ввод не более 900 символов!" errorTitle="Ошибка" operator="lessThanOrEqual" showErrorMessage="1" showInputMessage="1">
          <x14:formula1>
            <xm:f>900</xm:f>
          </x14:formula1>
          <xm: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xm:sqref>
        </x14:dataValidation>
        <x14:dataValidation xr:uid="{000600CA-002E-4AF3-8665-004900F600E2}" type="list" allowBlank="1" error="Выберите значение из списка" errorTitle="Ошибка" showErrorMessage="1" showInputMessage="1">
          <x14:formula1>
            <xm:f>kind_of_scheme_in</xm:f>
          </x14:formula1>
          <xm: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xm:sqref>
        </x14:dataValidation>
        <x14:dataValidation xr:uid="{005300B6-001F-4E40-8011-000900E300B4}" type="list" allowBlank="1" error="Выберите значение из списка" errorTitle="Ошибка" prompt="Выберите значение из списка" showInputMessage="1">
          <x14:formula1>
            <xm:f>kind_of_cons</xm:f>
          </x14:formula1>
          <xm:sqref>V983082:AR983082 V65578:AR65578 V131114:AR131114 V196650:AR196650 V262186:AR262186 V327722:AR327722 V393258:AR393258 V458794:AR458794 V524330:AR524330 V589866:AR589866 V655402:AR655402 V720938:AR720938 V786474:AR786474 V852010:AR852010 V917546:AR917546</xm:sqref>
        </x14:dataValidation>
      </x14:dataValidations>
    </ext>
  </extLs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sheetPr>
  <sheetViews>
    <sheetView showGridLines="0" topLeftCell="A1" zoomScale="90" workbookViewId="0">
      <selection activeCell="A1" sqref="A1"/>
    </sheetView>
  </sheetViews>
  <sheetFormatPr defaultColWidth="10.57421875" defaultRowHeight="14.25" customHeight="1"/>
  <cols>
    <col hidden="1" min="1" max="1" style="1366" width="10.57421875"/>
    <col customWidth="1" hidden="1" min="2" max="2" style="1366" width="11.00390625"/>
    <col hidden="1" min="3" max="3" style="1366" width="10.57421875"/>
    <col customWidth="1" hidden="1" min="4" max="4" style="1366" width="11.8515625"/>
    <col customWidth="1" hidden="1" min="5" max="5" style="1366" width="10.00390625"/>
    <col customWidth="1" hidden="1" min="6" max="6" style="1366" width="8.7109375"/>
    <col customWidth="1" hidden="1" min="7" max="7" style="1366" width="7.57421875"/>
    <col customWidth="1" hidden="1" min="8" max="8" style="1366" width="11.421875"/>
    <col customWidth="1" hidden="1" min="9" max="9" style="1366" width="14.140625"/>
    <col customWidth="1" hidden="1" min="10" max="10" style="1366" width="9.8515625"/>
    <col customWidth="1" hidden="1" min="11" max="11" style="1366" width="14.7109375"/>
    <col customWidth="1" hidden="1" min="12" max="12" style="2607" width="19.140625"/>
    <col customWidth="1" hidden="1" min="13" max="14" style="1776" width="12.28125"/>
    <col customWidth="1" hidden="1" min="15" max="15" style="1776" width="23.421875"/>
    <col customWidth="1" min="16" max="16" style="2397" width="3.00390625"/>
    <col customWidth="1" min="17" max="18" style="344" width="3.00390625"/>
    <col customWidth="1" min="19" max="19" style="2407" width="12.00390625"/>
    <col customWidth="1" min="20" max="20" style="1635" width="35.00390625"/>
    <col customWidth="1" min="21" max="21" style="1635" width="0.140625"/>
    <col customWidth="1" hidden="1" min="22" max="28" style="1635" width="19.7109375"/>
    <col customWidth="1" hidden="1" min="29" max="29" style="1635" width="11.7109375"/>
    <col customWidth="1" hidden="1" min="30" max="30" style="1635" width="3.7109375"/>
    <col customWidth="1" hidden="1" min="31" max="31" style="1635" width="11.7109375"/>
    <col customWidth="1" hidden="1" min="32" max="32" style="1635" width="8.57421875"/>
    <col customWidth="1" min="33" max="33" style="1635" width="19.7109375"/>
    <col customWidth="1" min="34" max="39" style="1635" width="19.00390625"/>
    <col customWidth="1" min="40" max="40" style="1635" width="11.00390625"/>
    <col customWidth="1" min="41" max="41" style="1635" width="3.7109375"/>
    <col customWidth="1" min="42" max="42" style="1635" width="11.00390625"/>
    <col customWidth="1" hidden="1" min="43" max="43" style="1635" width="8.57421875"/>
    <col customWidth="1" min="44" max="44" style="1635" width="4.00390625"/>
    <col customWidth="1" min="45" max="45" style="1635" width="115.00390625"/>
    <col customWidth="1" min="46" max="50" style="1642" width="10.00390625"/>
    <col hidden="1" min="51" max="51" style="1635" width="10.57421875"/>
  </cols>
  <sheetData>
    <row r="1" ht="22.5" hidden="1" customHeight="1">
      <c r="AB1" s="327"/>
      <c r="AC1" s="327"/>
      <c r="AM1" s="327"/>
      <c r="AN1" s="327"/>
      <c r="AY1" s="1155" t="s">
        <v>14</v>
      </c>
    </row>
    <row r="2" ht="23.25" hidden="1" customHeight="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127</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 xml:space="preserve">Наименование тарифа</v>
      </c>
      <c r="AW2" s="500"/>
      <c r="AX2" s="500"/>
      <c r="AY2" s="1155">
        <v>0</v>
      </c>
    </row>
    <row r="3" ht="23.25" hidden="1" customHeight="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399</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400</v>
      </c>
      <c r="AU3" s="500"/>
      <c r="AV3" s="500" t="str">
        <f>IF(T3="","",T3)</f>
        <v xml:space="preserve">Территория действия тарифа</v>
      </c>
      <c r="AW3" s="500"/>
      <c r="AX3" s="500"/>
      <c r="AY3" s="1155">
        <v>0</v>
      </c>
    </row>
    <row r="4" ht="23.25" hidden="1" customHeight="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532</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533</v>
      </c>
      <c r="AU4" s="500"/>
      <c r="AV4" s="500" t="str">
        <f>IF(T4="","",T4)</f>
        <v xml:space="preserve">Наименование централизованной системы горячего водоснабжения</v>
      </c>
      <c r="AW4" s="500"/>
      <c r="AX4" s="500"/>
      <c r="AY4" s="1155">
        <v>0</v>
      </c>
    </row>
    <row r="5" ht="23.25" hidden="1" customHeight="1">
      <c r="A5" s="1363"/>
      <c r="B5" s="1363"/>
      <c r="C5" s="1363"/>
      <c r="D5" s="1363"/>
      <c r="E5" s="2259"/>
      <c r="F5" s="2259"/>
      <c r="G5" s="2259"/>
      <c r="H5" s="2259"/>
      <c r="I5" s="2256">
        <f>S4&amp;".1"</f>
      </c>
      <c r="J5" s="1363"/>
      <c r="K5" s="1363"/>
      <c r="L5" s="1364"/>
      <c r="P5" s="2257">
        <v>1</v>
      </c>
      <c r="Q5" s="1481"/>
      <c r="R5" s="356"/>
      <c r="S5" s="1493">
        <f>$I5</f>
      </c>
      <c r="T5" s="285" t="s">
        <v>485</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486</v>
      </c>
      <c r="AU5" s="500"/>
      <c r="AV5" s="500" t="str">
        <f>IF(T5="","",T5)</f>
        <v xml:space="preserve">Наименование признака дифференциации</v>
      </c>
      <c r="AW5" s="500"/>
      <c r="AX5" s="500"/>
      <c r="AY5" s="1155">
        <v>0</v>
      </c>
    </row>
    <row r="6" ht="23.25" hidden="1" customHeight="1">
      <c r="A6" s="1363"/>
      <c r="B6" s="1363"/>
      <c r="C6" s="1363"/>
      <c r="D6" s="1363"/>
      <c r="E6" s="2259"/>
      <c r="F6" s="2259"/>
      <c r="G6" s="2259"/>
      <c r="H6" s="2259"/>
      <c r="I6" s="2286"/>
      <c r="J6" s="2256">
        <f>I5&amp;".1"</f>
      </c>
      <c r="K6" s="1363"/>
      <c r="L6" s="1364" t="s">
        <v>408</v>
      </c>
      <c r="P6" s="2257"/>
      <c r="Q6" s="2257">
        <v>1</v>
      </c>
      <c r="R6" s="357"/>
      <c r="S6" s="1493">
        <f>$J6</f>
      </c>
      <c r="T6" s="286" t="s">
        <v>409</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487</v>
      </c>
      <c r="AU6" s="500"/>
      <c r="AV6" s="500" t="str">
        <f>IF(T6="","",T6)</f>
        <v xml:space="preserve">Группа потребителей</v>
      </c>
      <c r="AW6" s="500"/>
      <c r="AX6" s="500"/>
      <c r="AY6" s="1155">
        <v>0</v>
      </c>
    </row>
    <row r="7" ht="23.25" hidden="1" customHeight="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65</v>
      </c>
      <c r="AE7" s="2265"/>
      <c r="AF7" s="2107" t="s">
        <v>65</v>
      </c>
      <c r="AG7" s="751"/>
      <c r="AH7" s="751"/>
      <c r="AI7" s="751"/>
      <c r="AJ7" s="751"/>
      <c r="AK7" s="751"/>
      <c r="AL7" s="751"/>
      <c r="AM7" s="1257"/>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r="8" ht="14.25" hidden="1" customHeight="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r="9" ht="21" hidden="1" customHeight="1">
      <c r="A9" s="1363"/>
      <c r="B9" s="1363"/>
      <c r="C9" s="1363"/>
      <c r="D9" s="1363"/>
      <c r="E9" s="2259"/>
      <c r="F9" s="2259"/>
      <c r="G9" s="2259"/>
      <c r="H9" s="2259"/>
      <c r="I9" s="2286"/>
      <c r="J9" s="2256"/>
      <c r="K9" s="1363"/>
      <c r="L9" s="1364"/>
      <c r="P9" s="2257"/>
      <c r="Q9" s="2257"/>
      <c r="R9" s="356"/>
      <c r="S9" s="1278"/>
      <c r="T9" s="287" t="s">
        <v>488</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489</v>
      </c>
      <c r="AU9" s="500"/>
      <c r="AV9" s="500" t="str">
        <f>IF(T9="","",T9)</f>
        <v xml:space="preserve">Добавить значение признака дифференциации</v>
      </c>
      <c r="AW9" s="500"/>
      <c r="AX9" s="500"/>
      <c r="AY9" s="1155">
        <v>0</v>
      </c>
    </row>
    <row r="10" ht="21" hidden="1" customHeight="1">
      <c r="A10" s="1363"/>
      <c r="B10" s="1363"/>
      <c r="C10" s="1363"/>
      <c r="D10" s="1363"/>
      <c r="E10" s="2259"/>
      <c r="F10" s="2259"/>
      <c r="G10" s="2259"/>
      <c r="H10" s="2259"/>
      <c r="I10" s="2256"/>
      <c r="J10" s="1363"/>
      <c r="K10" s="1363"/>
      <c r="L10" s="1364"/>
      <c r="P10" s="2257"/>
      <c r="Q10" s="1481"/>
      <c r="R10" s="356"/>
      <c r="S10" s="1278"/>
      <c r="T10" s="365" t="s">
        <v>414</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 xml:space="preserve">Добавить группу потребителей</v>
      </c>
      <c r="AW10" s="500"/>
      <c r="AX10" s="500"/>
      <c r="AY10" s="1155">
        <v>0</v>
      </c>
    </row>
    <row r="11" ht="21" hidden="1" customHeight="1">
      <c r="A11" s="1363"/>
      <c r="B11" s="1363"/>
      <c r="C11" s="1363"/>
      <c r="D11" s="1363"/>
      <c r="E11" s="2259"/>
      <c r="F11" s="2259"/>
      <c r="G11" s="2259"/>
      <c r="H11" s="2258"/>
      <c r="I11" s="1363"/>
      <c r="J11" s="1363"/>
      <c r="K11" s="1363"/>
      <c r="L11" s="1364"/>
      <c r="M11" s="1365"/>
      <c r="N11" s="1365"/>
      <c r="O11" s="537"/>
      <c r="P11" s="360"/>
      <c r="Q11" s="375"/>
      <c r="R11" s="355"/>
      <c r="S11" s="1278"/>
      <c r="T11" s="372" t="s">
        <v>490</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 xml:space="preserve">Добавить наименование признака дифференциации</v>
      </c>
      <c r="AW11" s="500"/>
      <c r="AX11" s="500"/>
      <c r="AY11" s="1155">
        <v>0</v>
      </c>
    </row>
    <row r="12" s="1642" customFormat="1" ht="14.25" hidden="1" customHeight="1">
      <c r="A12" s="1343"/>
      <c r="B12" s="1343"/>
      <c r="C12" s="1314"/>
      <c r="D12" s="1314"/>
      <c r="E12" s="2259"/>
      <c r="F12" s="2258"/>
      <c r="G12" s="1314"/>
      <c r="H12" s="1314"/>
      <c r="I12" s="1314"/>
      <c r="J12" s="1314"/>
      <c r="K12" s="1314"/>
      <c r="L12" s="1494"/>
      <c r="M12" s="1321"/>
      <c r="N12" s="1321"/>
      <c r="P12" s="1316"/>
      <c r="Q12" s="1317"/>
      <c r="R12" s="1316"/>
      <c r="S12" s="1322"/>
      <c r="T12" s="1325" t="s">
        <v>417</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 xml:space="preserve">Добавить централизованную систему для дифференциации</v>
      </c>
      <c r="AW12" s="789"/>
      <c r="AX12" s="789"/>
      <c r="AY12" s="518">
        <v>0</v>
      </c>
    </row>
    <row r="13" s="1642" customFormat="1" ht="14.25" hidden="1" customHeight="1">
      <c r="A13" s="1343"/>
      <c r="B13" s="1343"/>
      <c r="C13" s="1343"/>
      <c r="D13" s="1343"/>
      <c r="E13" s="2258"/>
      <c r="F13" s="1343"/>
      <c r="G13" s="1343"/>
      <c r="H13" s="1343"/>
      <c r="I13" s="1343"/>
      <c r="J13" s="1343"/>
      <c r="K13" s="1343"/>
      <c r="L13" s="1346"/>
      <c r="M13" s="1321"/>
      <c r="N13" s="1321"/>
      <c r="O13" s="518"/>
      <c r="P13" s="380"/>
      <c r="Q13" s="1344"/>
      <c r="R13" s="380"/>
      <c r="S13" s="1322"/>
      <c r="T13" s="1325" t="s">
        <v>418</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 xml:space="preserve">Добавить территорию для дифференциации</v>
      </c>
      <c r="AW13" s="500"/>
      <c r="AX13" s="500"/>
      <c r="AY13" s="511">
        <v>0</v>
      </c>
    </row>
    <row r="14" ht="14.25" hidden="1" customHeight="1">
      <c r="AF14" s="327"/>
      <c r="AQ14" s="327"/>
      <c r="AY14" s="1155">
        <v>0</v>
      </c>
    </row>
    <row r="15" ht="14.25" hidden="1" customHeight="1">
      <c r="AG15" s="1360"/>
      <c r="AH15" s="1360"/>
      <c r="AI15" s="1360"/>
      <c r="AJ15" s="1360"/>
      <c r="AK15" s="1360"/>
      <c r="AL15" s="1360"/>
      <c r="AM15" s="1361"/>
      <c r="AN15" s="2267"/>
      <c r="AO15" s="2268" t="s">
        <v>65</v>
      </c>
      <c r="AP15" s="2267"/>
      <c r="AQ15" s="2268" t="s">
        <v>65</v>
      </c>
      <c r="AY15" s="1155">
        <v>0</v>
      </c>
    </row>
    <row r="16" ht="14.25" hidden="1" customHeight="1">
      <c r="AG16" s="1360"/>
      <c r="AH16" s="1360"/>
      <c r="AI16" s="1360"/>
      <c r="AJ16" s="1360"/>
      <c r="AK16" s="1360"/>
      <c r="AL16" s="1360"/>
      <c r="AM16" s="328" t="str">
        <f>AN15&amp;"-"&amp;AP15</f>
        <v>-</v>
      </c>
      <c r="AN16" s="2268"/>
      <c r="AO16" s="2268"/>
      <c r="AP16" s="2268"/>
      <c r="AQ16" s="2268"/>
      <c r="AY16" s="1155">
        <v>0</v>
      </c>
    </row>
    <row r="17" ht="14.25" hidden="1" customHeight="1">
      <c r="AQ17" s="327"/>
      <c r="AY17" s="1155">
        <v>0</v>
      </c>
    </row>
    <row r="18" s="1366" customFormat="1" ht="22.5" hidden="1" customHeight="1">
      <c r="L18" s="1478"/>
      <c r="M18" s="1362"/>
      <c r="N18" s="1362"/>
      <c r="O18" s="1367" t="s">
        <v>419</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r="19" s="1366" customFormat="1" ht="14.25" hidden="1" customHeight="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r="20" s="1366" customFormat="1" ht="12" hidden="1" customHeight="1">
      <c r="L20" s="1478"/>
      <c r="M20" s="1362"/>
      <c r="N20" s="1362"/>
      <c r="O20" s="1364" t="s">
        <v>420</v>
      </c>
      <c r="P20" s="1362"/>
      <c r="Q20" s="1442"/>
      <c r="R20" s="1442"/>
      <c r="S20" s="729"/>
      <c r="T20" s="1160" t="s">
        <v>421</v>
      </c>
      <c r="W20" s="1366"/>
      <c r="X20" s="1366"/>
      <c r="Y20" s="1366"/>
      <c r="Z20" s="1366"/>
      <c r="AA20" s="1366"/>
      <c r="AD20" s="186" t="s">
        <v>422</v>
      </c>
      <c r="AF20" s="186" t="s">
        <v>423</v>
      </c>
      <c r="AG20" s="1160" t="s">
        <v>421</v>
      </c>
      <c r="AH20" s="1366"/>
      <c r="AI20" s="1366"/>
      <c r="AJ20" s="1366"/>
      <c r="AK20" s="1366"/>
      <c r="AL20" s="1366"/>
      <c r="AO20" s="186" t="s">
        <v>424</v>
      </c>
      <c r="AQ20" s="186" t="s">
        <v>423</v>
      </c>
      <c r="AY20" s="1160">
        <v>0</v>
      </c>
    </row>
    <row r="21" ht="14.25" hidden="1" customHeight="1">
      <c r="O21" s="1364"/>
      <c r="AY21" s="1155">
        <v>0</v>
      </c>
    </row>
    <row r="22" ht="14.25" hidden="1" customHeight="1">
      <c r="O22" s="1364"/>
      <c r="AY22" s="1155">
        <v>0</v>
      </c>
    </row>
    <row r="23" ht="14.65" customHeight="1">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r="24" ht="26.25" customHeight="1">
      <c r="Q24" s="376"/>
      <c r="R24" s="376"/>
      <c r="S24" s="2248" t="str">
        <f>IF(TEMPLATE_GROUP="P",PT_P_FORM_HOTVSNA_4_NAME_FORM,PT_R_FORM_HOTVSNA_16_NAME_FORM)</f>
        <v xml:space="preserve">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r="25" ht="14.65" customHeight="1">
      <c r="Q25" s="376"/>
      <c r="R25" s="376"/>
      <c r="S25" s="2249" t="str">
        <f>IF(org=0,"Не определено",org)</f>
        <v xml:space="preserve">филиал ПАО "ОГК-2" - Рязанская ГРЭС</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r="26" ht="14.25" hidden="1" customHeight="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r="27" s="1853" customFormat="1" ht="25.5" hidden="1" customHeight="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r="28" s="1853" customFormat="1" ht="18.75" hidden="1" customHeight="1">
      <c r="A28" s="1368"/>
      <c r="B28" s="1368"/>
      <c r="C28" s="1368"/>
      <c r="D28" s="1368"/>
      <c r="E28" s="1368"/>
      <c r="F28" s="1368"/>
      <c r="G28" s="1368"/>
      <c r="H28" s="1368"/>
      <c r="I28" s="1368"/>
      <c r="J28" s="1368"/>
      <c r="K28" s="1368"/>
      <c r="L28" s="1369"/>
      <c r="M28" s="1368"/>
      <c r="N28" s="1368"/>
      <c r="O28" s="1368"/>
      <c r="S28" s="2250" t="s">
        <v>425</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r="29" s="1853" customFormat="1" ht="18.75" hidden="1" customHeight="1">
      <c r="A29" s="1368"/>
      <c r="B29" s="1368"/>
      <c r="C29" s="1368"/>
      <c r="D29" s="1368"/>
      <c r="E29" s="1368"/>
      <c r="F29" s="1368"/>
      <c r="G29" s="1368"/>
      <c r="H29" s="1368"/>
      <c r="I29" s="1368"/>
      <c r="J29" s="1368"/>
      <c r="K29" s="1368"/>
      <c r="L29" s="1369"/>
      <c r="M29" s="1368"/>
      <c r="N29" s="1368"/>
      <c r="O29" s="1368"/>
      <c r="S29" s="2250" t="s">
        <v>426</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r="30" s="1853" customFormat="1" ht="18.75" hidden="1" customHeight="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r="31" ht="14.25" hidden="1" customHeight="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r="32" s="1853" customFormat="1" ht="18.75" hidden="1" customHeight="1">
      <c r="A32" s="1368"/>
      <c r="B32" s="1368"/>
      <c r="C32" s="1368"/>
      <c r="D32" s="1368"/>
      <c r="E32" s="1368"/>
      <c r="F32" s="1368"/>
      <c r="G32" s="1368"/>
      <c r="H32" s="1368"/>
      <c r="I32" s="1368"/>
      <c r="J32" s="1368"/>
      <c r="K32" s="1368"/>
      <c r="L32" s="1369"/>
      <c r="M32" s="1368"/>
      <c r="N32" s="1368"/>
      <c r="O32" s="1368"/>
      <c r="S32" s="2250" t="s">
        <v>427</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r="33" s="1853" customFormat="1" ht="18.75" hidden="1" customHeight="1">
      <c r="A33" s="1368"/>
      <c r="B33" s="1368"/>
      <c r="C33" s="1368"/>
      <c r="D33" s="1368"/>
      <c r="E33" s="1368"/>
      <c r="F33" s="1368"/>
      <c r="G33" s="1368"/>
      <c r="H33" s="1368"/>
      <c r="I33" s="1368"/>
      <c r="J33" s="1368"/>
      <c r="K33" s="1368"/>
      <c r="L33" s="1369"/>
      <c r="M33" s="1368"/>
      <c r="N33" s="1368"/>
      <c r="O33" s="1368"/>
      <c r="S33" s="2250" t="s">
        <v>428</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r="34" s="1853" customFormat="1" ht="1.05" customHeight="1">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429</v>
      </c>
      <c r="AG34" s="326"/>
      <c r="AH34" s="1635"/>
      <c r="AI34" s="1635"/>
      <c r="AJ34" s="1635"/>
      <c r="AK34" s="1635"/>
      <c r="AL34" s="1635"/>
      <c r="AM34" s="326"/>
      <c r="AN34" s="326"/>
      <c r="AO34" s="326"/>
      <c r="AP34" s="326"/>
      <c r="AQ34" s="278" t="s">
        <v>429</v>
      </c>
      <c r="AT34" s="368"/>
      <c r="AU34" s="368"/>
      <c r="AV34" s="368"/>
      <c r="AW34" s="368"/>
      <c r="AX34" s="368"/>
      <c r="AY34" s="418">
        <v>1</v>
      </c>
    </row>
    <row r="35" ht="14.65" customHeight="1">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r="36" ht="14.65" customHeight="1">
      <c r="Q36" s="376"/>
      <c r="R36" s="376"/>
      <c r="S36" s="2127" t="s">
        <v>302</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303</v>
      </c>
      <c r="AY36" s="1155">
        <v>14</v>
      </c>
    </row>
    <row r="37" ht="14.65" customHeight="1">
      <c r="Q37" s="376"/>
      <c r="R37" s="376"/>
      <c r="S37" s="2273" t="s">
        <v>87</v>
      </c>
      <c r="T37" s="2209" t="s">
        <v>430</v>
      </c>
      <c r="U37" s="301"/>
      <c r="V37" s="2274" t="s">
        <v>431</v>
      </c>
      <c r="W37" s="2275"/>
      <c r="X37" s="2275"/>
      <c r="Y37" s="2275"/>
      <c r="Z37" s="2275"/>
      <c r="AA37" s="2275"/>
      <c r="AB37" s="2275"/>
      <c r="AC37" s="2275"/>
      <c r="AD37" s="2275"/>
      <c r="AE37" s="2276"/>
      <c r="AF37" s="2277" t="s">
        <v>432</v>
      </c>
      <c r="AG37" s="2274" t="s">
        <v>431</v>
      </c>
      <c r="AH37" s="2275"/>
      <c r="AI37" s="2275"/>
      <c r="AJ37" s="2275"/>
      <c r="AK37" s="2275"/>
      <c r="AL37" s="2275"/>
      <c r="AM37" s="2275"/>
      <c r="AN37" s="2275"/>
      <c r="AO37" s="2275"/>
      <c r="AP37" s="2276"/>
      <c r="AQ37" s="2277" t="s">
        <v>433</v>
      </c>
      <c r="AR37" s="2280" t="s">
        <v>434</v>
      </c>
      <c r="AS37" s="2127"/>
      <c r="AY37" s="1155">
        <v>14</v>
      </c>
    </row>
    <row r="38" s="1635" customFormat="1" ht="19.949999999999999" customHeight="1">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534</v>
      </c>
      <c r="W38" s="2365" t="s">
        <v>535</v>
      </c>
      <c r="X38" s="2365"/>
      <c r="Y38" s="2365"/>
      <c r="Z38" s="2365" t="s">
        <v>536</v>
      </c>
      <c r="AA38" s="2365"/>
      <c r="AB38" s="2365"/>
      <c r="AC38" s="2294" t="s">
        <v>438</v>
      </c>
      <c r="AD38" s="2313"/>
      <c r="AE38" s="2314"/>
      <c r="AF38" s="2278"/>
      <c r="AG38" s="2366" t="s">
        <v>534</v>
      </c>
      <c r="AH38" s="2365" t="s">
        <v>535</v>
      </c>
      <c r="AI38" s="2365"/>
      <c r="AJ38" s="2365"/>
      <c r="AK38" s="2365" t="s">
        <v>536</v>
      </c>
      <c r="AL38" s="2365"/>
      <c r="AM38" s="2365"/>
      <c r="AN38" s="2294" t="s">
        <v>438</v>
      </c>
      <c r="AO38" s="2313"/>
      <c r="AP38" s="2314"/>
      <c r="AQ38" s="2278"/>
      <c r="AR38" s="2281"/>
      <c r="AS38" s="2127"/>
      <c r="AT38" s="1636"/>
      <c r="AU38" s="1636"/>
      <c r="AV38" s="1636"/>
      <c r="AW38" s="1636"/>
      <c r="AX38" s="1636"/>
      <c r="AY38" s="1631">
        <v>19</v>
      </c>
    </row>
    <row r="39" ht="19.949999999999999" customHeight="1">
      <c r="Q39" s="376"/>
      <c r="R39" s="376"/>
      <c r="S39" s="2273"/>
      <c r="T39" s="2209"/>
      <c r="U39" s="1031"/>
      <c r="V39" s="2366"/>
      <c r="W39" s="2365" t="s">
        <v>537</v>
      </c>
      <c r="X39" s="2365" t="s">
        <v>538</v>
      </c>
      <c r="Y39" s="2365"/>
      <c r="Z39" s="2365" t="s">
        <v>539</v>
      </c>
      <c r="AA39" s="2365" t="s">
        <v>538</v>
      </c>
      <c r="AB39" s="2365"/>
      <c r="AC39" s="2295"/>
      <c r="AD39" s="2315"/>
      <c r="AE39" s="2316"/>
      <c r="AF39" s="2278"/>
      <c r="AG39" s="2366"/>
      <c r="AH39" s="2365" t="s">
        <v>537</v>
      </c>
      <c r="AI39" s="2365" t="s">
        <v>538</v>
      </c>
      <c r="AJ39" s="2365"/>
      <c r="AK39" s="2365" t="s">
        <v>539</v>
      </c>
      <c r="AL39" s="2365" t="s">
        <v>538</v>
      </c>
      <c r="AM39" s="2365"/>
      <c r="AN39" s="2295"/>
      <c r="AO39" s="2315"/>
      <c r="AP39" s="2316"/>
      <c r="AQ39" s="2278"/>
      <c r="AR39" s="2281"/>
      <c r="AS39" s="2127"/>
      <c r="AY39" s="1155">
        <v>19</v>
      </c>
    </row>
    <row r="40" ht="61.950000000000003" customHeight="1">
      <c r="A40" s="1370"/>
      <c r="B40" s="1370" t="s">
        <v>139</v>
      </c>
      <c r="C40" s="1370" t="s">
        <v>140</v>
      </c>
      <c r="D40" s="1370" t="s">
        <v>141</v>
      </c>
      <c r="E40" s="1364" t="s">
        <v>439</v>
      </c>
      <c r="F40" s="1364" t="s">
        <v>440</v>
      </c>
      <c r="G40" s="1364" t="s">
        <v>441</v>
      </c>
      <c r="H40" s="1364"/>
      <c r="I40" s="1364" t="s">
        <v>492</v>
      </c>
      <c r="J40" s="1364" t="s">
        <v>444</v>
      </c>
      <c r="K40" s="1364" t="s">
        <v>493</v>
      </c>
      <c r="L40" s="1364" t="s">
        <v>420</v>
      </c>
      <c r="Q40" s="376"/>
      <c r="R40" s="376"/>
      <c r="S40" s="2273"/>
      <c r="T40" s="2209"/>
      <c r="U40" s="302"/>
      <c r="V40" s="2366"/>
      <c r="W40" s="2365"/>
      <c r="X40" s="1983" t="s">
        <v>540</v>
      </c>
      <c r="Y40" s="1983" t="s">
        <v>541</v>
      </c>
      <c r="Z40" s="2365"/>
      <c r="AA40" s="1983" t="s">
        <v>542</v>
      </c>
      <c r="AB40" s="1983" t="s">
        <v>543</v>
      </c>
      <c r="AC40" s="1489" t="s">
        <v>448</v>
      </c>
      <c r="AD40" s="2270" t="s">
        <v>449</v>
      </c>
      <c r="AE40" s="2271"/>
      <c r="AF40" s="2279"/>
      <c r="AG40" s="2366"/>
      <c r="AH40" s="2365"/>
      <c r="AI40" s="1983" t="s">
        <v>540</v>
      </c>
      <c r="AJ40" s="1983" t="s">
        <v>541</v>
      </c>
      <c r="AK40" s="2365"/>
      <c r="AL40" s="1983" t="s">
        <v>542</v>
      </c>
      <c r="AM40" s="1983" t="s">
        <v>543</v>
      </c>
      <c r="AN40" s="1489" t="s">
        <v>448</v>
      </c>
      <c r="AO40" s="2270" t="s">
        <v>449</v>
      </c>
      <c r="AP40" s="2271"/>
      <c r="AQ40" s="2279"/>
      <c r="AR40" s="2282"/>
      <c r="AS40" s="2127"/>
      <c r="AY40" s="1155">
        <v>59</v>
      </c>
    </row>
    <row r="41" s="1641" customFormat="1" ht="11.25" hidden="1" customHeight="1">
      <c r="A41" s="1370"/>
      <c r="B41" s="1370"/>
      <c r="C41" s="1370"/>
      <c r="D41" s="1370"/>
      <c r="E41" s="1370"/>
      <c r="F41" s="1370"/>
      <c r="G41" s="1370"/>
      <c r="H41" s="1370"/>
      <c r="I41" s="1370"/>
      <c r="J41" s="1370"/>
      <c r="K41" s="1370"/>
      <c r="L41" s="1364"/>
      <c r="M41" s="1362"/>
      <c r="N41" s="1362"/>
      <c r="O41" s="1362"/>
      <c r="P41" s="1246"/>
      <c r="Q41" s="1247"/>
      <c r="R41" s="1254">
        <v>1</v>
      </c>
      <c r="S41" s="1277" t="s">
        <v>109</v>
      </c>
      <c r="T41" s="1255" t="s">
        <v>110</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r="42" ht="24" customHeight="1">
      <c r="A42" s="1363" t="s">
        <v>258</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127</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 xml:space="preserve">Наименование тарифа</v>
      </c>
      <c r="AW42" s="500"/>
      <c r="AX42" s="500"/>
      <c r="AY42" s="1155">
        <v>23</v>
      </c>
    </row>
    <row r="43" ht="24" customHeight="1">
      <c r="A43" s="1363" t="s">
        <v>258</v>
      </c>
      <c r="B43" s="1363" t="s">
        <v>259</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399</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400</v>
      </c>
      <c r="AU43" s="500"/>
      <c r="AV43" s="500" t="str">
        <f>IF(T43="","",T43)</f>
        <v xml:space="preserve">Территория действия тарифа</v>
      </c>
      <c r="AW43" s="500"/>
      <c r="AX43" s="500"/>
      <c r="AY43" s="1155">
        <v>23</v>
      </c>
    </row>
    <row r="44" ht="24" customHeight="1">
      <c r="A44" s="1363" t="s">
        <v>258</v>
      </c>
      <c r="B44" s="1363" t="s">
        <v>259</v>
      </c>
      <c r="C44" s="1363" t="s">
        <v>260</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532</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533</v>
      </c>
      <c r="AU44" s="500"/>
      <c r="AV44" s="500" t="str">
        <f>IF(T44="","",T44)</f>
        <v xml:space="preserve">Наименование централизованной системы горячего водоснабжения</v>
      </c>
      <c r="AW44" s="500"/>
      <c r="AX44" s="500"/>
      <c r="AY44" s="1155">
        <v>23</v>
      </c>
    </row>
    <row r="45" ht="24" customHeight="1">
      <c r="A45" s="1363" t="s">
        <v>258</v>
      </c>
      <c r="B45" s="1363" t="s">
        <v>259</v>
      </c>
      <c r="C45" s="1363" t="s">
        <v>260</v>
      </c>
      <c r="D45" s="1363" t="s">
        <v>545</v>
      </c>
      <c r="E45" s="2259"/>
      <c r="F45" s="2259"/>
      <c r="G45" s="2259"/>
      <c r="H45" s="2259"/>
      <c r="I45" s="2256" t="str">
        <f>S44&amp;".1"</f>
        <v>...1</v>
      </c>
      <c r="J45" s="1363"/>
      <c r="K45" s="1363"/>
      <c r="L45" s="1364"/>
      <c r="P45" s="2257">
        <v>1</v>
      </c>
      <c r="Q45" s="1481"/>
      <c r="R45" s="356"/>
      <c r="S45" s="1493" t="str">
        <f>$I45</f>
        <v>...1</v>
      </c>
      <c r="T45" s="285" t="s">
        <v>485</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486</v>
      </c>
      <c r="AU45" s="500"/>
      <c r="AV45" s="500" t="str">
        <f>IF(T45="","",T45)</f>
        <v xml:space="preserve">Наименование признака дифференциации</v>
      </c>
      <c r="AW45" s="500"/>
      <c r="AX45" s="500"/>
      <c r="AY45" s="1155">
        <v>23</v>
      </c>
    </row>
    <row r="46" ht="24" customHeight="1">
      <c r="A46" s="1363" t="s">
        <v>258</v>
      </c>
      <c r="B46" s="1363" t="s">
        <v>259</v>
      </c>
      <c r="C46" s="1363" t="s">
        <v>260</v>
      </c>
      <c r="D46" s="1363" t="s">
        <v>545</v>
      </c>
      <c r="E46" s="2259"/>
      <c r="F46" s="2259"/>
      <c r="G46" s="2259"/>
      <c r="H46" s="2259"/>
      <c r="I46" s="2286"/>
      <c r="J46" s="2256" t="str">
        <f>I45&amp;".1"</f>
        <v>...1.1</v>
      </c>
      <c r="K46" s="1363"/>
      <c r="L46" s="1364" t="s">
        <v>408</v>
      </c>
      <c r="P46" s="2257"/>
      <c r="Q46" s="2257">
        <v>1</v>
      </c>
      <c r="R46" s="357"/>
      <c r="S46" s="1493" t="str">
        <f>$J46</f>
        <v>...1.1</v>
      </c>
      <c r="T46" s="286" t="s">
        <v>409</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487</v>
      </c>
      <c r="AU46" s="500"/>
      <c r="AV46" s="500" t="str">
        <f>IF(T46="","",T46)</f>
        <v xml:space="preserve">Группа потребителей</v>
      </c>
      <c r="AW46" s="500"/>
      <c r="AX46" s="500"/>
      <c r="AY46" s="1155">
        <v>23</v>
      </c>
    </row>
    <row r="47" ht="24" customHeight="1">
      <c r="A47" s="1363" t="s">
        <v>258</v>
      </c>
      <c r="B47" s="1363" t="s">
        <v>259</v>
      </c>
      <c r="C47" s="1363" t="s">
        <v>260</v>
      </c>
      <c r="D47" s="1363" t="s">
        <v>545</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65</v>
      </c>
      <c r="AE47" s="2267"/>
      <c r="AF47" s="2268" t="s">
        <v>65</v>
      </c>
      <c r="AG47" s="751"/>
      <c r="AH47" s="751"/>
      <c r="AI47" s="751"/>
      <c r="AJ47" s="751"/>
      <c r="AK47" s="751"/>
      <c r="AL47" s="751"/>
      <c r="AM47" s="1257"/>
      <c r="AN47" s="2265"/>
      <c r="AO47" s="2107" t="s">
        <v>65</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r="48" ht="0" customHeight="1">
      <c r="A48" s="1363" t="s">
        <v>258</v>
      </c>
      <c r="B48" s="1363" t="s">
        <v>259</v>
      </c>
      <c r="C48" s="1363" t="s">
        <v>260</v>
      </c>
      <c r="D48" s="1363" t="s">
        <v>545</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r="49" ht="21" customHeight="1">
      <c r="A49" s="1363" t="s">
        <v>258</v>
      </c>
      <c r="B49" s="1363" t="s">
        <v>259</v>
      </c>
      <c r="C49" s="1363" t="s">
        <v>260</v>
      </c>
      <c r="D49" s="1363" t="s">
        <v>545</v>
      </c>
      <c r="E49" s="2259"/>
      <c r="F49" s="2259"/>
      <c r="G49" s="2259"/>
      <c r="H49" s="2259"/>
      <c r="I49" s="2286"/>
      <c r="J49" s="2256"/>
      <c r="K49" s="1363"/>
      <c r="L49" s="1364"/>
      <c r="P49" s="2257"/>
      <c r="Q49" s="2257"/>
      <c r="R49" s="356"/>
      <c r="S49" s="1278"/>
      <c r="T49" s="287" t="s">
        <v>488</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489</v>
      </c>
      <c r="AU49" s="500"/>
      <c r="AV49" s="500" t="str">
        <f>IF(T49="","",T49)</f>
        <v xml:space="preserve">Добавить значение признака дифференциации</v>
      </c>
      <c r="AW49" s="500"/>
      <c r="AX49" s="500"/>
      <c r="AY49" s="1155">
        <v>20</v>
      </c>
    </row>
    <row r="50" ht="22" customHeight="1">
      <c r="A50" s="1363" t="s">
        <v>258</v>
      </c>
      <c r="B50" s="1363" t="s">
        <v>259</v>
      </c>
      <c r="C50" s="1363" t="s">
        <v>260</v>
      </c>
      <c r="D50" s="1363" t="s">
        <v>545</v>
      </c>
      <c r="E50" s="2259"/>
      <c r="F50" s="2259"/>
      <c r="G50" s="2259"/>
      <c r="H50" s="2259"/>
      <c r="I50" s="2256"/>
      <c r="J50" s="1363"/>
      <c r="K50" s="1363"/>
      <c r="L50" s="1364"/>
      <c r="P50" s="2257"/>
      <c r="Q50" s="1481"/>
      <c r="R50" s="356"/>
      <c r="S50" s="1278"/>
      <c r="T50" s="365" t="s">
        <v>414</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 xml:space="preserve">Добавить группу потребителей</v>
      </c>
      <c r="AW50" s="500"/>
      <c r="AX50" s="500"/>
      <c r="AY50" s="1155">
        <v>21</v>
      </c>
    </row>
    <row r="51" ht="22" customHeight="1">
      <c r="A51" s="1363" t="s">
        <v>258</v>
      </c>
      <c r="B51" s="1363" t="s">
        <v>259</v>
      </c>
      <c r="C51" s="1363" t="s">
        <v>260</v>
      </c>
      <c r="D51" s="1363" t="s">
        <v>545</v>
      </c>
      <c r="E51" s="2259"/>
      <c r="F51" s="2259"/>
      <c r="G51" s="2259"/>
      <c r="H51" s="2258"/>
      <c r="I51" s="1363"/>
      <c r="J51" s="1363"/>
      <c r="K51" s="1363"/>
      <c r="L51" s="1364"/>
      <c r="M51" s="1365"/>
      <c r="N51" s="1365"/>
      <c r="O51" s="537"/>
      <c r="P51" s="360"/>
      <c r="Q51" s="375"/>
      <c r="R51" s="355"/>
      <c r="S51" s="1278"/>
      <c r="T51" s="372" t="s">
        <v>490</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 xml:space="preserve">Добавить наименование признака дифференциации</v>
      </c>
      <c r="AW51" s="500"/>
      <c r="AX51" s="500"/>
      <c r="AY51" s="1155">
        <v>21</v>
      </c>
    </row>
    <row r="52" s="1642" customFormat="1" ht="0" customHeight="1">
      <c r="A52" s="1343" t="s">
        <v>258</v>
      </c>
      <c r="B52" s="1343" t="s">
        <v>259</v>
      </c>
      <c r="C52" s="1314"/>
      <c r="D52" s="1314"/>
      <c r="E52" s="2259"/>
      <c r="F52" s="2258"/>
      <c r="G52" s="1314"/>
      <c r="H52" s="1314"/>
      <c r="I52" s="1314"/>
      <c r="J52" s="1314"/>
      <c r="K52" s="1314"/>
      <c r="L52" s="1494"/>
      <c r="M52" s="1321"/>
      <c r="N52" s="1321"/>
      <c r="P52" s="1316"/>
      <c r="Q52" s="1317"/>
      <c r="R52" s="1316"/>
      <c r="S52" s="1322"/>
      <c r="T52" s="1325" t="s">
        <v>417</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 xml:space="preserve">Добавить централизованную систему для дифференциации</v>
      </c>
      <c r="AW52" s="789"/>
      <c r="AX52" s="789"/>
      <c r="AY52" s="518">
        <v>0</v>
      </c>
    </row>
    <row r="53" s="1642" customFormat="1" ht="0" customHeight="1">
      <c r="A53" s="1343" t="s">
        <v>258</v>
      </c>
      <c r="B53" s="1343"/>
      <c r="C53" s="1343"/>
      <c r="D53" s="1343"/>
      <c r="E53" s="2258"/>
      <c r="F53" s="1343"/>
      <c r="G53" s="1343"/>
      <c r="H53" s="1343"/>
      <c r="I53" s="1343"/>
      <c r="J53" s="1343"/>
      <c r="K53" s="1343"/>
      <c r="L53" s="1346"/>
      <c r="M53" s="1321"/>
      <c r="N53" s="1321"/>
      <c r="O53" s="518"/>
      <c r="P53" s="380"/>
      <c r="Q53" s="1344"/>
      <c r="R53" s="380"/>
      <c r="S53" s="1322"/>
      <c r="T53" s="1325" t="s">
        <v>418</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 xml:space="preserve">Добавить территорию для дифференциации</v>
      </c>
      <c r="AW53" s="500"/>
      <c r="AX53" s="500"/>
      <c r="AY53" s="511">
        <v>0</v>
      </c>
    </row>
    <row r="54" s="1642" customFormat="1" ht="0" customHeight="1">
      <c r="A54" s="1314"/>
      <c r="B54" s="1314"/>
      <c r="C54" s="1314"/>
      <c r="D54" s="1314"/>
      <c r="E54" s="1343"/>
      <c r="F54" s="1314"/>
      <c r="G54" s="1314"/>
      <c r="H54" s="1314"/>
      <c r="I54" s="1314"/>
      <c r="J54" s="1314"/>
      <c r="K54" s="1314"/>
      <c r="L54" s="1494"/>
      <c r="M54" s="1321"/>
      <c r="N54" s="1321"/>
      <c r="P54" s="1316"/>
      <c r="Q54" s="1317"/>
      <c r="R54" s="1316"/>
      <c r="S54" s="1322"/>
      <c r="T54" s="1325" t="s">
        <v>450</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 xml:space="preserve">Добавить наименование тарифа</v>
      </c>
      <c r="AW54" s="789"/>
      <c r="AX54" s="789"/>
      <c r="AY54" s="518">
        <v>0</v>
      </c>
    </row>
    <row r="55" ht="11.5" customHeight="1">
      <c r="M55" s="1160"/>
      <c r="N55" s="1160"/>
      <c r="O55" s="537"/>
      <c r="P55" s="1155"/>
      <c r="Q55" s="1155"/>
      <c r="R55" s="1155"/>
      <c r="S55" s="1155"/>
      <c r="AT55" s="1155"/>
      <c r="AU55" s="1155"/>
      <c r="AV55" s="1155"/>
      <c r="AW55" s="1155"/>
      <c r="AX55" s="1155"/>
      <c r="AY55" s="1155">
        <v>11</v>
      </c>
    </row>
    <row r="56" ht="14.65" customHeight="1">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r="57" ht="14.65" customHeight="1">
      <c r="O57" s="537"/>
      <c r="AY57" s="1155">
        <v>14</v>
      </c>
    </row>
    <row r="58" ht="14.65" customHeight="1">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r="59" ht="22.5" hidden="1" customHeight="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autoFilter="0" deleteColumns="0" deleteRows="0" formatColumns="0" formatRows="0" insertColumns="1" insertRows="0" sort="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4">
    <dataValidation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allowBlank="1" promptTitle="checkPeriodRange"/>
    <dataValidation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allowBlank="1" prompt="Выберите дату из календаря (иконка справа от указанной ячейки), либо введите дату непосредственно в ячейку в формате - 'ДД.ММ.ГГГГ'." showErrorMessage="1" showInputMessage="1"/>
    <dataValidation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allowBlank="1" prompt="Для выбора выполните двойной щелчок левой клавиши мыши по соответствующей ячейке." showErrorMessage="1" showInputMessage="1"/>
    <dataValidation sqref="S131117:AS131123 S196653:AS196659 S262189:AS262195 S327725:AS327731 S393261:AS393267 S458797:AS458803 S524333:AS524339 S589869:AS589875 S655405:AS655411 S720941:AS720947 S786477:AS786483 S852013:AS852019 S917549:AS917555 S983085:AS983091 S65581:AS65587" allowBlank="1"/>
  </dataValidations>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x14:dataValidation xr:uid="{002A0097-0028-4A66-9865-00D800C50031}" type="list" allowBlank="1" error="Выберите значение из списка" errorTitle="Ошибка" showErrorMessage="1" showInputMessage="1">
          <x14:formula1>
            <xm:f>kind_of_scheme_in</xm:f>
          </x14:formula1>
          <xm: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xm:sqref>
        </x14:dataValidation>
        <x14:dataValidation xr:uid="{009B009D-004C-4EB9-9D97-00F200710075}" type="textLength" allowBlank="1" error="Допускается ввод не более 900 символов!" errorTitle="Ошибка" operator="lessThanOrEqual" showErrorMessage="1" showInputMessage="1">
          <x14:formula1>
            <xm:f>900</xm:f>
          </x14:formula1>
          <xm: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xm:sqref>
        </x14:dataValidation>
        <x14:dataValidation xr:uid="{00C8003B-005F-4014-8EDE-009500E60042}" type="list" allowBlank="1" error="Выберите значение из списка" errorTitle="Ошибка" showErrorMessage="1" showInputMessage="1">
          <x14:formula1>
            <xm:f>kind_of_heat_transfer</xm:f>
          </x14:formula1>
          <xm:sqref>T65579 T131115 T196651 T262187 T327723 T393259 T458795 T524331 T589867 T655403 T720939 T786475 T852011 T917547 T983083</xm:sqref>
        </x14:dataValidation>
        <x14:dataValidation xr:uid="{009500D6-00EB-4763-B1BE-003400440042}" type="list" allowBlank="1" error="Выберите значение из списка" errorTitle="Ошибка" prompt="Выберите значение из списка" showInputMessage="1">
          <x14:formula1>
            <xm:f>kind_of_cons</xm:f>
          </x14:formula1>
          <xm:sqref>V983082:AR983082 V65578:AR65578 V131114:AR131114 V196650:AR196650 V262186:AR262186 V327722:AR327722 V393258:AR393258 V458794:AR458794 V524330:AR524330 V589866:AR589866 V655402:AR655402 V720938:AR720938 V786474:AR786474 V852010:AR852010 V917546:AR917546</xm:sqref>
        </x14:dataValidation>
      </x14:dataValidations>
    </ext>
  </extLst>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sheetPr>
  <sheetViews>
    <sheetView showGridLines="0" topLeftCell="A1" zoomScale="90" workbookViewId="0">
      <selection activeCell="A1" sqref="A1"/>
    </sheetView>
  </sheetViews>
  <sheetFormatPr defaultColWidth="10.57421875" defaultRowHeight="14.25" customHeight="1"/>
  <cols>
    <col customWidth="1" hidden="1" min="1" max="1" style="1366" width="11.57421875"/>
    <col customWidth="1" hidden="1" min="2" max="2" style="1366" width="11.00390625"/>
    <col hidden="1" min="3" max="3" style="1366" width="10.57421875"/>
    <col customWidth="1" hidden="1" min="4" max="4" style="1366" width="12.8515625"/>
    <col customWidth="1" hidden="1" min="5" max="5" style="1366" width="10.00390625"/>
    <col customWidth="1" hidden="1" min="6" max="6" style="1366" width="8.7109375"/>
    <col customWidth="1" hidden="1" min="7" max="7" style="1366" width="7.57421875"/>
    <col customWidth="1" hidden="1" min="8" max="8" style="1366" width="11.421875"/>
    <col customWidth="1" hidden="1" min="9" max="9" style="1366" width="12.00390625"/>
    <col customWidth="1" hidden="1" min="10" max="10" style="1366" width="9.8515625"/>
    <col customWidth="1" hidden="1" min="11" max="11" style="1366" width="11.421875"/>
    <col customWidth="1" hidden="1" min="12" max="12" style="2607" width="19.140625"/>
    <col customWidth="1" hidden="1" min="13" max="14" style="1776" width="12.28125"/>
    <col customWidth="1" hidden="1" min="15" max="15" style="1776" width="23.421875"/>
    <col customWidth="1" hidden="1" min="16" max="16" style="1776" width="3.7109375"/>
    <col customWidth="1" hidden="1" min="17" max="17" style="1371" width="3.7109375"/>
    <col customWidth="1" min="18" max="18" style="344" width="3.00390625"/>
    <col customWidth="1" min="19" max="19" style="2407" width="12.00390625"/>
    <col customWidth="1" min="20" max="20" style="1635" width="31.00390625"/>
    <col customWidth="1" min="21" max="21" style="1635" width="0.140625"/>
    <col customWidth="1" hidden="1" min="22" max="25" style="1635" width="21.7109375"/>
    <col customWidth="1" hidden="1" min="26" max="26" style="1635" width="11.7109375"/>
    <col customWidth="1" hidden="1" min="27" max="27" style="1635" width="3.7109375"/>
    <col customWidth="1" hidden="1" min="28" max="28" style="1635" width="11.7109375"/>
    <col customWidth="1" hidden="1" min="29" max="29" style="1635" width="8.57421875"/>
    <col customWidth="1" min="30" max="30" style="1635" width="3.7109375"/>
    <col customWidth="1" min="31" max="32" style="1635" width="3.00390625"/>
    <col customWidth="1" min="33" max="33" style="1635" width="24.00390625"/>
    <col customWidth="1" min="34" max="34" style="1635" width="3.7109375"/>
    <col customWidth="1" min="35" max="36" style="1635" width="3.00390625"/>
    <col customWidth="1" min="37" max="37" style="1635" width="24.00390625"/>
    <col customWidth="1" min="38" max="38" style="1635" width="3.7109375"/>
    <col customWidth="1" min="39" max="40" style="1635" width="3.00390625"/>
    <col customWidth="1" min="41" max="41" style="1635" width="18.00390625"/>
    <col customWidth="1" min="42" max="42" style="1635" width="3.7109375"/>
    <col customWidth="1" min="43" max="44" style="1635" width="3.00390625"/>
    <col customWidth="1" min="45" max="45" style="1635" width="18.00390625"/>
    <col customWidth="1" min="46" max="49" style="1635" width="21.00390625"/>
    <col customWidth="1" min="50" max="50" style="1635" width="11.00390625"/>
    <col customWidth="1" min="51" max="51" style="1635" width="3.7109375"/>
    <col customWidth="1" min="52" max="52" style="1635" width="11.00390625"/>
    <col customWidth="1" hidden="1" min="53" max="53" style="1635" width="8.57421875"/>
    <col customWidth="1" min="54" max="54" style="1635" width="4.00390625"/>
    <col customWidth="1" min="55" max="55" style="1635" width="115.00390625"/>
    <col customWidth="1" min="56" max="60" style="1642" width="10.00390625"/>
    <col hidden="1" min="61" max="61" style="1635" width="10.57421875"/>
  </cols>
  <sheetData>
    <row r="1" ht="22.5" hidden="1" customHeight="1">
      <c r="W1" s="327"/>
      <c r="Y1" s="327"/>
      <c r="Z1" s="327"/>
      <c r="AW1" s="327"/>
      <c r="AX1" s="327"/>
      <c r="BI1" s="1155" t="s">
        <v>14</v>
      </c>
    </row>
    <row r="2" ht="21" hidden="1" customHeight="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127</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 xml:space="preserve">Наименование тарифа</v>
      </c>
      <c r="BG2" s="500"/>
      <c r="BH2" s="500"/>
      <c r="BI2" s="1155">
        <v>0</v>
      </c>
    </row>
    <row r="3" ht="21" hidden="1" customHeight="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399</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400</v>
      </c>
      <c r="BE3" s="500"/>
      <c r="BF3" s="500" t="str">
        <f>IF(T3="","",T3)</f>
        <v xml:space="preserve">Территория действия тарифа</v>
      </c>
      <c r="BG3" s="500"/>
      <c r="BH3" s="500"/>
      <c r="BI3" s="1155">
        <v>0</v>
      </c>
    </row>
    <row r="4" ht="33.75" hidden="1" customHeight="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532</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533</v>
      </c>
      <c r="BE4" s="500"/>
      <c r="BF4" s="500" t="str">
        <f>IF(T4="","",T4)</f>
        <v xml:space="preserve">Наименование централизованной системы горячего водоснабжения</v>
      </c>
      <c r="BG4" s="500"/>
      <c r="BH4" s="500"/>
      <c r="BI4" s="1155">
        <v>0</v>
      </c>
    </row>
    <row r="5" s="1642" customFormat="1" ht="14.25" hidden="1" customHeight="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404</v>
      </c>
      <c r="BE5" s="500"/>
      <c r="BF5" s="500" t="str">
        <f>IF(T5="","",T5)</f>
        <v/>
      </c>
      <c r="BG5" s="500"/>
      <c r="BH5" s="500"/>
      <c r="BI5" s="511">
        <v>0</v>
      </c>
    </row>
    <row r="6" s="1642" customFormat="1" ht="14.25" hidden="1" customHeight="1">
      <c r="A6" s="1343"/>
      <c r="B6" s="1343"/>
      <c r="C6" s="1343"/>
      <c r="D6" s="1343"/>
      <c r="E6" s="2259"/>
      <c r="F6" s="2259"/>
      <c r="G6" s="2259"/>
      <c r="H6" s="2259"/>
      <c r="I6" s="2256" t="str">
        <f>S5&amp;".1"</f>
        <v>.1</v>
      </c>
      <c r="J6" s="1343"/>
      <c r="K6" s="1343"/>
      <c r="L6" s="1346" t="s">
        <v>405</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r="7" s="1642" customFormat="1" ht="14.25" hidden="1" customHeight="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r="8" ht="11.25" hidden="1" customHeight="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22</v>
      </c>
      <c r="AL8" s="2107" t="s">
        <v>65</v>
      </c>
      <c r="AM8" s="2192"/>
      <c r="AN8" s="2205">
        <v>1</v>
      </c>
      <c r="AO8" s="2357"/>
      <c r="AP8" s="2358" t="s">
        <v>65</v>
      </c>
      <c r="AQ8" s="311"/>
      <c r="AR8" s="1486">
        <v>1</v>
      </c>
      <c r="AS8" s="1492" t="s">
        <v>22</v>
      </c>
      <c r="AT8" s="751"/>
      <c r="AU8" s="1257"/>
      <c r="AV8" s="751"/>
      <c r="AW8" s="1257"/>
      <c r="AX8" s="1734"/>
      <c r="AY8" s="1469" t="s">
        <v>65</v>
      </c>
      <c r="AZ8" s="1734"/>
      <c r="BA8" s="1469" t="s">
        <v>65</v>
      </c>
      <c r="BB8" s="1348"/>
      <c r="BC8" s="2253" t="s">
        <v>503</v>
      </c>
      <c r="BE8" s="500"/>
      <c r="BF8" s="500" t="str">
        <f>IF(T8="","",T8)</f>
        <v/>
      </c>
      <c r="BG8" s="500"/>
      <c r="BH8" s="500"/>
      <c r="BI8" s="1155">
        <v>0</v>
      </c>
    </row>
    <row r="9" ht="11.25" hidden="1" customHeight="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504</v>
      </c>
      <c r="AT9" s="1393"/>
      <c r="AU9" s="1496"/>
      <c r="AV9" s="1393"/>
      <c r="AW9" s="1496"/>
      <c r="AX9" s="1393"/>
      <c r="AY9" s="1393"/>
      <c r="AZ9" s="1393"/>
      <c r="BA9" s="1393"/>
      <c r="BB9" s="1397"/>
      <c r="BC9" s="2254"/>
      <c r="BE9" s="500"/>
      <c r="BF9" s="500"/>
      <c r="BG9" s="500"/>
      <c r="BH9" s="500"/>
      <c r="BI9" s="1155">
        <v>0</v>
      </c>
    </row>
    <row r="10" ht="11.25" hidden="1" customHeight="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505</v>
      </c>
      <c r="AP10" s="416"/>
      <c r="AQ10" s="416"/>
      <c r="AR10" s="416"/>
      <c r="AS10" s="1393"/>
      <c r="AT10" s="1393"/>
      <c r="AU10" s="1496"/>
      <c r="AV10" s="1393"/>
      <c r="AW10" s="1496"/>
      <c r="AX10" s="1393"/>
      <c r="AY10" s="1393"/>
      <c r="AZ10" s="1393"/>
      <c r="BA10" s="1393"/>
      <c r="BB10" s="1397"/>
      <c r="BC10" s="2254"/>
      <c r="BE10" s="500"/>
      <c r="BF10" s="500"/>
      <c r="BG10" s="500"/>
      <c r="BH10" s="500"/>
      <c r="BI10" s="1155">
        <v>0</v>
      </c>
    </row>
    <row r="11" ht="11.25" hidden="1" customHeight="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506</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r="12" ht="11.25" hidden="1" customHeight="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507</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r="13" ht="11.25" hidden="1" customHeight="1">
      <c r="A13" s="1363"/>
      <c r="B13" s="1363"/>
      <c r="C13" s="1363"/>
      <c r="D13" s="1363"/>
      <c r="E13" s="2259"/>
      <c r="F13" s="2259"/>
      <c r="G13" s="2259"/>
      <c r="H13" s="2259"/>
      <c r="I13" s="2286"/>
      <c r="J13" s="2256"/>
      <c r="K13" s="1363"/>
      <c r="L13" s="1364"/>
      <c r="P13" s="2257"/>
      <c r="Q13" s="2257"/>
      <c r="R13" s="356"/>
      <c r="S13" s="1278"/>
      <c r="T13" s="287" t="s">
        <v>470</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 xml:space="preserve">Добавить строку</v>
      </c>
      <c r="BG13" s="500"/>
      <c r="BH13" s="500"/>
      <c r="BI13" s="1155">
        <v>0</v>
      </c>
    </row>
    <row r="14" s="1642" customFormat="1" ht="14.25" hidden="1" customHeight="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r="15" s="1642" customFormat="1" ht="14.25" hidden="1" customHeight="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r="16" s="1642" customFormat="1" ht="14.25" hidden="1" customHeight="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r="17" s="1642" customFormat="1" ht="14.25" hidden="1" customHeight="1">
      <c r="A17" s="1343"/>
      <c r="B17" s="1343"/>
      <c r="C17" s="1314"/>
      <c r="D17" s="1314"/>
      <c r="E17" s="2259"/>
      <c r="F17" s="2258"/>
      <c r="G17" s="1314"/>
      <c r="H17" s="1314"/>
      <c r="I17" s="1314"/>
      <c r="J17" s="1314"/>
      <c r="K17" s="1314"/>
      <c r="L17" s="1494"/>
      <c r="M17" s="1321"/>
      <c r="N17" s="1321"/>
      <c r="P17" s="1316"/>
      <c r="Q17" s="1317"/>
      <c r="R17" s="1316"/>
      <c r="S17" s="1322"/>
      <c r="T17" s="1325" t="s">
        <v>417</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 xml:space="preserve">Добавить централизованную систему для дифференциации</v>
      </c>
      <c r="BG17" s="789"/>
      <c r="BH17" s="789"/>
      <c r="BI17" s="518">
        <v>0</v>
      </c>
    </row>
    <row r="18" s="1642" customFormat="1" ht="14.25" hidden="1" customHeight="1">
      <c r="A18" s="1343"/>
      <c r="B18" s="1343"/>
      <c r="C18" s="1343"/>
      <c r="D18" s="1343"/>
      <c r="E18" s="2258"/>
      <c r="F18" s="1343"/>
      <c r="G18" s="1343"/>
      <c r="H18" s="1343"/>
      <c r="I18" s="1343"/>
      <c r="J18" s="1343"/>
      <c r="K18" s="1343"/>
      <c r="L18" s="1346"/>
      <c r="M18" s="1321"/>
      <c r="N18" s="1321"/>
      <c r="O18" s="518"/>
      <c r="P18" s="380"/>
      <c r="Q18" s="1344"/>
      <c r="R18" s="380"/>
      <c r="S18" s="1322"/>
      <c r="T18" s="1325" t="s">
        <v>418</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 xml:space="preserve">Добавить территорию для дифференциации</v>
      </c>
      <c r="BG18" s="500"/>
      <c r="BH18" s="500"/>
      <c r="BI18" s="511">
        <v>0</v>
      </c>
    </row>
    <row r="19" ht="14.25" hidden="1" customHeight="1">
      <c r="AC19" s="327"/>
      <c r="BA19" s="327"/>
      <c r="BI19" s="1155">
        <v>0</v>
      </c>
    </row>
    <row r="20" ht="14.25" hidden="1" customHeight="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r="21" ht="14.25" hidden="1" customHeight="1">
      <c r="BD21" s="496"/>
      <c r="BE21" s="496"/>
      <c r="BF21" s="496"/>
      <c r="BG21" s="496"/>
      <c r="BH21" s="496"/>
      <c r="BI21" s="1155">
        <v>0</v>
      </c>
    </row>
    <row r="22" ht="14.25" hidden="1" customHeight="1">
      <c r="O22" s="1367" t="s">
        <v>419</v>
      </c>
      <c r="Z22" s="1345"/>
      <c r="AB22" s="1345"/>
      <c r="AC22" s="327"/>
      <c r="AX22" s="1345"/>
      <c r="AZ22" s="1345"/>
      <c r="BA22" s="327"/>
      <c r="BD22" s="496"/>
      <c r="BE22" s="496"/>
      <c r="BF22" s="496"/>
      <c r="BG22" s="496"/>
      <c r="BH22" s="496"/>
      <c r="BI22" s="1155">
        <v>0</v>
      </c>
    </row>
    <row r="23" ht="14.25" hidden="1" customHeight="1">
      <c r="AC23" s="327"/>
      <c r="BA23" s="327"/>
      <c r="BD23" s="496"/>
      <c r="BE23" s="496"/>
      <c r="BF23" s="496"/>
      <c r="BG23" s="496"/>
      <c r="BH23" s="496"/>
      <c r="BI23" s="1155">
        <v>0</v>
      </c>
    </row>
    <row r="24" s="1509" customFormat="1" ht="14.25" hidden="1" customHeight="1">
      <c r="M24" s="1508"/>
      <c r="N24" s="1508"/>
      <c r="O24" s="1509" t="s">
        <v>420</v>
      </c>
      <c r="P24" s="1508"/>
      <c r="Q24" s="1510"/>
      <c r="R24" s="1510"/>
      <c r="AA24" s="1507" t="s">
        <v>422</v>
      </c>
      <c r="AC24" s="1507" t="s">
        <v>423</v>
      </c>
      <c r="AD24" s="1507" t="s">
        <v>471</v>
      </c>
      <c r="AH24" s="1507" t="s">
        <v>471</v>
      </c>
      <c r="AK24" s="1507" t="s">
        <v>508</v>
      </c>
      <c r="AL24" s="1507" t="s">
        <v>471</v>
      </c>
      <c r="AP24" s="1507" t="s">
        <v>471</v>
      </c>
      <c r="AY24" s="1507" t="s">
        <v>422</v>
      </c>
      <c r="BA24" s="1507" t="s">
        <v>423</v>
      </c>
      <c r="BD24" s="1511"/>
      <c r="BE24" s="1511"/>
      <c r="BF24" s="1511"/>
      <c r="BG24" s="1511"/>
      <c r="BH24" s="1511"/>
      <c r="BI24" s="1507">
        <v>0</v>
      </c>
    </row>
    <row r="25" ht="14.25" hidden="1" customHeight="1">
      <c r="O25" s="1364"/>
      <c r="BD25" s="496"/>
      <c r="BE25" s="496"/>
      <c r="BF25" s="496"/>
      <c r="BG25" s="496"/>
      <c r="BH25" s="496"/>
      <c r="BI25" s="1155">
        <v>0</v>
      </c>
    </row>
    <row r="26" ht="14.25" hidden="1" customHeight="1">
      <c r="O26" s="1364"/>
      <c r="BD26" s="496"/>
      <c r="BE26" s="496"/>
      <c r="BF26" s="496"/>
      <c r="BG26" s="496"/>
      <c r="BH26" s="496"/>
      <c r="BI26" s="1155">
        <v>0</v>
      </c>
    </row>
    <row r="27" ht="14.65" customHeight="1">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r="28" ht="14.65" customHeight="1">
      <c r="Q28" s="291"/>
      <c r="R28" s="376"/>
      <c r="S28" s="2248" t="str">
        <f>IF(TEMPLATE_GROUP="P",PT_P_FORM_HOTVSNA_5_NAME_FORM,PT_R_FORM_HOTVSNA_17_NAME_FORM)</f>
        <v xml:space="preserve">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r="29" ht="14.65" customHeight="1">
      <c r="Q29" s="291"/>
      <c r="R29" s="376"/>
      <c r="S29" s="2249" t="str">
        <f>IF(org=0,"Не определено",org)</f>
        <v xml:space="preserve">филиал ПАО "ОГК-2" - Рязанская ГРЭС</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r="30" ht="14.25" hidden="1" customHeight="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r="31" s="1853" customFormat="1" ht="25.5" hidden="1" customHeight="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r="32" s="1853" customFormat="1" ht="18.75" hidden="1" customHeight="1">
      <c r="A32" s="1368"/>
      <c r="B32" s="1368"/>
      <c r="C32" s="1368"/>
      <c r="D32" s="1368"/>
      <c r="E32" s="1368"/>
      <c r="F32" s="1368"/>
      <c r="G32" s="1368"/>
      <c r="H32" s="1368"/>
      <c r="I32" s="1368"/>
      <c r="J32" s="1368"/>
      <c r="K32" s="1368"/>
      <c r="L32" s="1369"/>
      <c r="M32" s="1368"/>
      <c r="N32" s="1368"/>
      <c r="O32" s="1368"/>
      <c r="P32" s="1368"/>
      <c r="Q32" s="1368"/>
      <c r="S32" s="2250" t="s">
        <v>425</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r="33" s="1853" customFormat="1" ht="18.75" hidden="1" customHeight="1">
      <c r="A33" s="1368"/>
      <c r="B33" s="1368"/>
      <c r="C33" s="1368"/>
      <c r="D33" s="1368"/>
      <c r="E33" s="1368"/>
      <c r="F33" s="1368"/>
      <c r="G33" s="1368"/>
      <c r="H33" s="1368"/>
      <c r="I33" s="1368"/>
      <c r="J33" s="1368"/>
      <c r="K33" s="1368"/>
      <c r="L33" s="1369"/>
      <c r="M33" s="1368"/>
      <c r="N33" s="1368"/>
      <c r="O33" s="1368"/>
      <c r="P33" s="1368"/>
      <c r="Q33" s="1368"/>
      <c r="S33" s="2250" t="s">
        <v>426</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r="34" s="1853" customFormat="1" ht="18.75" hidden="1" customHeight="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r="35" ht="14.25" hidden="1" customHeight="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r="36" s="1853" customFormat="1" ht="18.75" hidden="1" customHeight="1">
      <c r="A36" s="1368"/>
      <c r="B36" s="1368"/>
      <c r="C36" s="1368"/>
      <c r="D36" s="1368"/>
      <c r="E36" s="1368"/>
      <c r="F36" s="1368"/>
      <c r="G36" s="1368"/>
      <c r="H36" s="1368"/>
      <c r="I36" s="1368"/>
      <c r="J36" s="1368"/>
      <c r="K36" s="1368"/>
      <c r="L36" s="1369"/>
      <c r="M36" s="1368"/>
      <c r="N36" s="1368"/>
      <c r="O36" s="1368"/>
      <c r="P36" s="1368"/>
      <c r="Q36" s="1368"/>
      <c r="S36" s="2250" t="s">
        <v>425</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r="37" s="1853" customFormat="1" ht="18.75" hidden="1" customHeight="1">
      <c r="A37" s="1368"/>
      <c r="B37" s="1368"/>
      <c r="C37" s="1368"/>
      <c r="D37" s="1368"/>
      <c r="E37" s="1368"/>
      <c r="F37" s="1368"/>
      <c r="G37" s="1368"/>
      <c r="H37" s="1368"/>
      <c r="I37" s="1368"/>
      <c r="J37" s="1368"/>
      <c r="K37" s="1368"/>
      <c r="L37" s="1369"/>
      <c r="M37" s="1368"/>
      <c r="N37" s="1368"/>
      <c r="O37" s="1368"/>
      <c r="P37" s="1368"/>
      <c r="Q37" s="1368"/>
      <c r="S37" s="2250" t="s">
        <v>426</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r="38" s="1853" customFormat="1" ht="0" customHeight="1">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429</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429</v>
      </c>
      <c r="BD38" s="368"/>
      <c r="BE38" s="368"/>
      <c r="BF38" s="368"/>
      <c r="BG38" s="368"/>
      <c r="BH38" s="368"/>
      <c r="BI38" s="418">
        <v>0</v>
      </c>
    </row>
    <row r="39" ht="14.65" customHeight="1">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r="40" ht="14.65" customHeight="1">
      <c r="Q40" s="291"/>
      <c r="R40" s="376"/>
      <c r="S40" s="2127" t="s">
        <v>302</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303</v>
      </c>
      <c r="BI40" s="1155">
        <v>14</v>
      </c>
    </row>
    <row r="41" ht="14.65" customHeight="1">
      <c r="Q41" s="291"/>
      <c r="R41" s="376"/>
      <c r="S41" s="2273" t="s">
        <v>87</v>
      </c>
      <c r="T41" s="2209" t="s">
        <v>509</v>
      </c>
      <c r="U41" s="301"/>
      <c r="V41" s="2274" t="s">
        <v>431</v>
      </c>
      <c r="W41" s="2275"/>
      <c r="X41" s="2275"/>
      <c r="Y41" s="2275"/>
      <c r="Z41" s="2275"/>
      <c r="AA41" s="2275"/>
      <c r="AB41" s="2276"/>
      <c r="AC41" s="2277" t="s">
        <v>432</v>
      </c>
      <c r="AD41" s="2328" t="s">
        <v>510</v>
      </c>
      <c r="AE41" s="2291"/>
      <c r="AF41" s="2291"/>
      <c r="AG41" s="2329"/>
      <c r="AH41" s="2328" t="s">
        <v>511</v>
      </c>
      <c r="AI41" s="2291"/>
      <c r="AJ41" s="2291"/>
      <c r="AK41" s="2329"/>
      <c r="AL41" s="2328" t="s">
        <v>512</v>
      </c>
      <c r="AM41" s="2291"/>
      <c r="AN41" s="2291"/>
      <c r="AO41" s="2329"/>
      <c r="AP41" s="2328" t="s">
        <v>513</v>
      </c>
      <c r="AQ41" s="2291"/>
      <c r="AR41" s="2291"/>
      <c r="AS41" s="2329"/>
      <c r="AT41" s="2274" t="s">
        <v>431</v>
      </c>
      <c r="AU41" s="2275"/>
      <c r="AV41" s="2275"/>
      <c r="AW41" s="2275"/>
      <c r="AX41" s="2275"/>
      <c r="AY41" s="2275"/>
      <c r="AZ41" s="2276"/>
      <c r="BA41" s="2277" t="s">
        <v>432</v>
      </c>
      <c r="BB41" s="2280" t="s">
        <v>434</v>
      </c>
      <c r="BC41" s="2127"/>
      <c r="BI41" s="1155">
        <v>14</v>
      </c>
    </row>
    <row r="42" ht="35.649999999999999" customHeight="1">
      <c r="Q42" s="291"/>
      <c r="R42" s="376"/>
      <c r="S42" s="2273"/>
      <c r="T42" s="2209"/>
      <c r="U42" s="1031"/>
      <c r="V42" s="2192" t="s">
        <v>514</v>
      </c>
      <c r="W42" s="2193"/>
      <c r="X42" s="2192" t="s">
        <v>515</v>
      </c>
      <c r="Y42" s="2193"/>
      <c r="Z42" s="2294" t="s">
        <v>516</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514</v>
      </c>
      <c r="AU42" s="2193"/>
      <c r="AV42" s="2192" t="s">
        <v>515</v>
      </c>
      <c r="AW42" s="2193"/>
      <c r="AX42" s="2294" t="s">
        <v>516</v>
      </c>
      <c r="AY42" s="2313"/>
      <c r="AZ42" s="2314"/>
      <c r="BA42" s="2278"/>
      <c r="BB42" s="2281"/>
      <c r="BC42" s="2127"/>
      <c r="BI42" s="1155">
        <v>34</v>
      </c>
    </row>
    <row r="43" ht="14.65" customHeight="1">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r="44" ht="14.65" customHeight="1">
      <c r="A44" s="1370"/>
      <c r="B44" s="1370" t="s">
        <v>139</v>
      </c>
      <c r="C44" s="1370" t="s">
        <v>140</v>
      </c>
      <c r="D44" s="1370" t="s">
        <v>141</v>
      </c>
      <c r="E44" s="1364" t="s">
        <v>439</v>
      </c>
      <c r="F44" s="1364" t="s">
        <v>440</v>
      </c>
      <c r="G44" s="1364" t="s">
        <v>441</v>
      </c>
      <c r="H44" s="1364" t="s">
        <v>442</v>
      </c>
      <c r="I44" s="1364" t="s">
        <v>443</v>
      </c>
      <c r="J44" s="1364" t="s">
        <v>444</v>
      </c>
      <c r="K44" s="1364" t="s">
        <v>445</v>
      </c>
      <c r="L44" s="1364" t="s">
        <v>420</v>
      </c>
      <c r="Q44" s="291"/>
      <c r="R44" s="376"/>
      <c r="S44" s="2273"/>
      <c r="T44" s="2209"/>
      <c r="U44" s="302"/>
      <c r="V44" s="1479" t="s">
        <v>480</v>
      </c>
      <c r="W44" s="1479" t="s">
        <v>481</v>
      </c>
      <c r="X44" s="1479" t="s">
        <v>480</v>
      </c>
      <c r="Y44" s="1479" t="s">
        <v>481</v>
      </c>
      <c r="Z44" s="1489" t="s">
        <v>448</v>
      </c>
      <c r="AA44" s="2270" t="s">
        <v>449</v>
      </c>
      <c r="AB44" s="2271"/>
      <c r="AC44" s="2279"/>
      <c r="AD44" s="2333"/>
      <c r="AE44" s="2334"/>
      <c r="AF44" s="2334"/>
      <c r="AG44" s="2335"/>
      <c r="AH44" s="2333"/>
      <c r="AI44" s="2334"/>
      <c r="AJ44" s="2334"/>
      <c r="AK44" s="2335"/>
      <c r="AL44" s="2333"/>
      <c r="AM44" s="2334"/>
      <c r="AN44" s="2334"/>
      <c r="AO44" s="2335"/>
      <c r="AP44" s="2333"/>
      <c r="AQ44" s="2334"/>
      <c r="AR44" s="2334"/>
      <c r="AS44" s="2335"/>
      <c r="AT44" s="1479" t="s">
        <v>480</v>
      </c>
      <c r="AU44" s="1479" t="s">
        <v>481</v>
      </c>
      <c r="AV44" s="1479" t="s">
        <v>480</v>
      </c>
      <c r="AW44" s="1479" t="s">
        <v>481</v>
      </c>
      <c r="AX44" s="1489" t="s">
        <v>448</v>
      </c>
      <c r="AY44" s="2270" t="s">
        <v>449</v>
      </c>
      <c r="AZ44" s="2271"/>
      <c r="BA44" s="2279"/>
      <c r="BB44" s="2282"/>
      <c r="BC44" s="2127"/>
      <c r="BI44" s="1155">
        <v>14</v>
      </c>
    </row>
    <row r="45" s="1641" customFormat="1" ht="0" customHeight="1">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r="46" ht="22" customHeight="1">
      <c r="A46" s="1363" t="s">
        <v>263</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127</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 xml:space="preserve">Наименование тарифа</v>
      </c>
      <c r="BG46" s="500"/>
      <c r="BH46" s="500"/>
      <c r="BI46" s="1155">
        <v>21</v>
      </c>
    </row>
    <row r="47" ht="22" customHeight="1">
      <c r="A47" s="1363" t="s">
        <v>263</v>
      </c>
      <c r="B47" s="1363" t="s">
        <v>264</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399</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400</v>
      </c>
      <c r="BE47" s="500"/>
      <c r="BF47" s="500" t="str">
        <f>IF(T47="","",T47)</f>
        <v xml:space="preserve">Территория действия тарифа</v>
      </c>
      <c r="BG47" s="500"/>
      <c r="BH47" s="500"/>
      <c r="BI47" s="1155">
        <v>21</v>
      </c>
    </row>
    <row r="48" ht="35.649999999999999" customHeight="1">
      <c r="A48" s="1363" t="s">
        <v>263</v>
      </c>
      <c r="B48" s="1363" t="s">
        <v>264</v>
      </c>
      <c r="C48" s="1363" t="s">
        <v>265</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532</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533</v>
      </c>
      <c r="BE48" s="500"/>
      <c r="BF48" s="500" t="str">
        <f>IF(T48="","",T48)</f>
        <v xml:space="preserve">Наименование централизованной системы горячего водоснабжения</v>
      </c>
      <c r="BG48" s="500"/>
      <c r="BH48" s="500"/>
      <c r="BI48" s="1155">
        <v>34</v>
      </c>
    </row>
    <row r="49" s="1642" customFormat="1" ht="0" customHeight="1">
      <c r="A49" s="1343" t="s">
        <v>263</v>
      </c>
      <c r="B49" s="1343" t="s">
        <v>264</v>
      </c>
      <c r="C49" s="1343" t="s">
        <v>265</v>
      </c>
      <c r="D49" s="1343" t="s">
        <v>546</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404</v>
      </c>
      <c r="BE49" s="500"/>
      <c r="BF49" s="500" t="str">
        <f>IF(T49="","",T49)</f>
        <v/>
      </c>
      <c r="BG49" s="500"/>
      <c r="BH49" s="500"/>
      <c r="BI49" s="511">
        <v>0</v>
      </c>
    </row>
    <row r="50" s="1642" customFormat="1" ht="0" customHeight="1">
      <c r="A50" s="1343" t="s">
        <v>263</v>
      </c>
      <c r="B50" s="1343" t="s">
        <v>264</v>
      </c>
      <c r="C50" s="1343" t="s">
        <v>265</v>
      </c>
      <c r="D50" s="1343" t="s">
        <v>546</v>
      </c>
      <c r="E50" s="2259"/>
      <c r="F50" s="2259"/>
      <c r="G50" s="2259"/>
      <c r="H50" s="2259"/>
      <c r="I50" s="2256" t="str">
        <f>S49&amp;".1"</f>
        <v>.1</v>
      </c>
      <c r="J50" s="1343"/>
      <c r="K50" s="1343"/>
      <c r="L50" s="1346" t="s">
        <v>405</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r="51" s="1642" customFormat="1" ht="0" customHeight="1">
      <c r="A51" s="1343" t="s">
        <v>263</v>
      </c>
      <c r="B51" s="1343" t="s">
        <v>264</v>
      </c>
      <c r="C51" s="1343" t="s">
        <v>265</v>
      </c>
      <c r="D51" s="1343" t="s">
        <v>546</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r="52" ht="11.5" customHeight="1">
      <c r="A52" s="1363" t="s">
        <v>263</v>
      </c>
      <c r="B52" s="1363" t="s">
        <v>264</v>
      </c>
      <c r="C52" s="1363" t="s">
        <v>265</v>
      </c>
      <c r="D52" s="1363" t="s">
        <v>546</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86">
        <v>1</v>
      </c>
      <c r="AS52" s="1492" t="s">
        <v>22</v>
      </c>
      <c r="AT52" s="751"/>
      <c r="AU52" s="1257"/>
      <c r="AV52" s="751"/>
      <c r="AW52" s="1257"/>
      <c r="AX52" s="1734"/>
      <c r="AY52" s="1469" t="s">
        <v>65</v>
      </c>
      <c r="AZ52" s="1734"/>
      <c r="BA52" s="1469" t="s">
        <v>65</v>
      </c>
      <c r="BB52" s="1348"/>
      <c r="BC52" s="2253" t="s">
        <v>503</v>
      </c>
      <c r="BE52" s="500"/>
      <c r="BF52" s="500" t="str">
        <f>IF(T52="","",T52)</f>
        <v/>
      </c>
      <c r="BG52" s="500"/>
      <c r="BH52" s="500"/>
      <c r="BI52" s="1155">
        <v>11</v>
      </c>
    </row>
    <row r="53" ht="11.5" customHeight="1">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504</v>
      </c>
      <c r="AT53" s="1393"/>
      <c r="AU53" s="1496"/>
      <c r="AV53" s="1393"/>
      <c r="AW53" s="1496"/>
      <c r="AX53" s="1393"/>
      <c r="AY53" s="1393"/>
      <c r="AZ53" s="1393"/>
      <c r="BA53" s="1393"/>
      <c r="BB53" s="1397"/>
      <c r="BC53" s="2254"/>
      <c r="BE53" s="500"/>
      <c r="BF53" s="500"/>
      <c r="BG53" s="500"/>
      <c r="BH53" s="500"/>
      <c r="BI53" s="1155">
        <v>11</v>
      </c>
    </row>
    <row r="54" ht="11.5" customHeight="1">
      <c r="A54" s="1363" t="s">
        <v>263</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505</v>
      </c>
      <c r="AP54" s="416"/>
      <c r="AQ54" s="416"/>
      <c r="AR54" s="416"/>
      <c r="AS54" s="1393"/>
      <c r="AT54" s="1393"/>
      <c r="AU54" s="1496"/>
      <c r="AV54" s="1393"/>
      <c r="AW54" s="1496"/>
      <c r="AX54" s="1393"/>
      <c r="AY54" s="1393"/>
      <c r="AZ54" s="1393"/>
      <c r="BA54" s="1393"/>
      <c r="BB54" s="1397"/>
      <c r="BC54" s="2254"/>
      <c r="BE54" s="500"/>
      <c r="BF54" s="500"/>
      <c r="BG54" s="500"/>
      <c r="BH54" s="500"/>
      <c r="BI54" s="1155">
        <v>11</v>
      </c>
    </row>
    <row r="55" ht="11.5" customHeight="1">
      <c r="A55" s="1363" t="s">
        <v>263</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506</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r="56" ht="11.5" customHeight="1">
      <c r="A56" s="1363" t="s">
        <v>263</v>
      </c>
      <c r="B56" s="1363" t="s">
        <v>264</v>
      </c>
      <c r="C56" s="1363" t="s">
        <v>265</v>
      </c>
      <c r="D56" s="1363" t="s">
        <v>546</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507</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r="57" ht="11.5" customHeight="1">
      <c r="A57" s="1363" t="s">
        <v>263</v>
      </c>
      <c r="B57" s="1363" t="s">
        <v>264</v>
      </c>
      <c r="C57" s="1363" t="s">
        <v>265</v>
      </c>
      <c r="D57" s="1363" t="s">
        <v>546</v>
      </c>
      <c r="E57" s="2259"/>
      <c r="F57" s="2259"/>
      <c r="G57" s="2259"/>
      <c r="H57" s="2259"/>
      <c r="I57" s="2286"/>
      <c r="J57" s="2256"/>
      <c r="K57" s="1363"/>
      <c r="L57" s="1364"/>
      <c r="P57" s="2257"/>
      <c r="Q57" s="2257"/>
      <c r="R57" s="356"/>
      <c r="S57" s="1278"/>
      <c r="T57" s="287" t="s">
        <v>470</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 xml:space="preserve">Добавить строку</v>
      </c>
      <c r="BG57" s="500"/>
      <c r="BH57" s="500"/>
      <c r="BI57" s="1155">
        <v>11</v>
      </c>
    </row>
    <row r="58" s="1642" customFormat="1" ht="0" customHeight="1">
      <c r="A58" s="1343" t="s">
        <v>263</v>
      </c>
      <c r="B58" s="1343" t="s">
        <v>264</v>
      </c>
      <c r="C58" s="1343" t="s">
        <v>265</v>
      </c>
      <c r="D58" s="1343" t="s">
        <v>546</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r="59" s="1642" customFormat="1" ht="0" customHeight="1">
      <c r="A59" s="1343" t="s">
        <v>263</v>
      </c>
      <c r="B59" s="1343" t="s">
        <v>264</v>
      </c>
      <c r="C59" s="1343" t="s">
        <v>265</v>
      </c>
      <c r="D59" s="1343" t="s">
        <v>546</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r="60" s="1642" customFormat="1" ht="0" customHeight="1">
      <c r="A60" s="1343" t="s">
        <v>263</v>
      </c>
      <c r="B60" s="1343" t="s">
        <v>264</v>
      </c>
      <c r="C60" s="1343" t="s">
        <v>265</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r="61" s="1642" customFormat="1" ht="0" customHeight="1">
      <c r="A61" s="1343" t="s">
        <v>263</v>
      </c>
      <c r="B61" s="1343" t="s">
        <v>264</v>
      </c>
      <c r="C61" s="1314"/>
      <c r="D61" s="1314"/>
      <c r="E61" s="2259"/>
      <c r="F61" s="2258"/>
      <c r="G61" s="1314"/>
      <c r="H61" s="1314"/>
      <c r="I61" s="1314"/>
      <c r="J61" s="1314"/>
      <c r="K61" s="1314"/>
      <c r="L61" s="1494"/>
      <c r="M61" s="1321"/>
      <c r="N61" s="1321"/>
      <c r="P61" s="1316"/>
      <c r="Q61" s="1317"/>
      <c r="R61" s="1316"/>
      <c r="S61" s="1322"/>
      <c r="T61" s="1325" t="s">
        <v>417</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 xml:space="preserve">Добавить централизованную систему для дифференциации</v>
      </c>
      <c r="BG61" s="789"/>
      <c r="BH61" s="789"/>
      <c r="BI61" s="518">
        <v>0</v>
      </c>
    </row>
    <row r="62" s="1642" customFormat="1" ht="0" customHeight="1">
      <c r="A62" s="1343" t="s">
        <v>263</v>
      </c>
      <c r="B62" s="1343"/>
      <c r="C62" s="1343"/>
      <c r="D62" s="1343"/>
      <c r="E62" s="2258"/>
      <c r="F62" s="1343"/>
      <c r="G62" s="1343"/>
      <c r="H62" s="1343"/>
      <c r="I62" s="1343"/>
      <c r="J62" s="1343"/>
      <c r="K62" s="1343"/>
      <c r="L62" s="1346"/>
      <c r="M62" s="1321"/>
      <c r="N62" s="1321"/>
      <c r="O62" s="518"/>
      <c r="P62" s="380"/>
      <c r="Q62" s="1344"/>
      <c r="R62" s="380"/>
      <c r="S62" s="1322"/>
      <c r="T62" s="1325" t="s">
        <v>418</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 xml:space="preserve">Добавить территорию для дифференциации</v>
      </c>
      <c r="BG62" s="500"/>
      <c r="BH62" s="500"/>
      <c r="BI62" s="511">
        <v>0</v>
      </c>
    </row>
    <row r="63" s="1642" customFormat="1" ht="0" customHeight="1">
      <c r="A63" s="1314"/>
      <c r="B63" s="1314"/>
      <c r="C63" s="1314"/>
      <c r="D63" s="1314"/>
      <c r="E63" s="1343"/>
      <c r="F63" s="1314"/>
      <c r="G63" s="1314"/>
      <c r="H63" s="1314"/>
      <c r="I63" s="1314"/>
      <c r="J63" s="1314"/>
      <c r="K63" s="1314"/>
      <c r="L63" s="1494"/>
      <c r="M63" s="1321"/>
      <c r="N63" s="1321"/>
      <c r="P63" s="1316"/>
      <c r="Q63" s="1317"/>
      <c r="R63" s="1316"/>
      <c r="S63" s="1322"/>
      <c r="T63" s="1325" t="s">
        <v>450</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 xml:space="preserve">Добавить наименование тарифа</v>
      </c>
      <c r="BG63" s="789"/>
      <c r="BH63" s="789"/>
      <c r="BI63" s="518">
        <v>0</v>
      </c>
    </row>
    <row r="64" ht="11.5" customHeight="1">
      <c r="M64" s="1160"/>
      <c r="N64" s="1160"/>
      <c r="O64" s="537"/>
      <c r="P64" s="1160"/>
      <c r="Q64" s="1160"/>
      <c r="R64" s="1155"/>
      <c r="S64" s="1155"/>
      <c r="BD64" s="1155"/>
      <c r="BE64" s="1155"/>
      <c r="BF64" s="1155"/>
      <c r="BG64" s="1155"/>
      <c r="BH64" s="1155"/>
      <c r="BI64" s="1155">
        <v>11</v>
      </c>
    </row>
    <row r="65" ht="19.949999999999999" customHeight="1">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r="66" ht="14.65" customHeight="1">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r="67" ht="19.949999999999999" customHeight="1">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r="68" ht="14.65" customHeight="1">
      <c r="O68" s="537"/>
      <c r="BI68" s="1155">
        <v>14</v>
      </c>
    </row>
    <row r="69" ht="14.25" hidden="1" customHeight="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autoFilter="0" deleteColumns="0" deleteRows="0" formatColumns="0" formatRows="0" insertColumns="1" insertRows="0" sort="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4">
    <dataValidation sqref="S65591:BC65597 S983095:BC983101 S917559:BC917565 S852023:BC852029 S786487:BC786493 S720951:BC720957 S655415:BC655421 S589879:BC589885 S524343:BC524349 S458807:BC458813 S393271:BC393277 S327735:BC327741 S262199:BC262205 S196663:BC196669 S131127:BC131133" allowBlank="1"/>
    <dataValidation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allowBlank="1" prompt="Для выбора выполните двойной щелчок левой клавиши мыши по соответствующей ячейке." showErrorMessage="1" showInputMessage="1"/>
    <dataValidation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allowBlank="1" promptTitle="checkPeriodRange"/>
    <dataValidation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allowBlank="1" prompt="Выберите дату из календаря (иконка справа от указанной ячейки), либо введите дату непосредственно в ячейку в формате - 'ДД.ММ.ГГГГ'." showErrorMessage="1" showInputMessage="1"/>
  </dataValidations>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5">
        <x14:dataValidation xr:uid="{004B0041-002C-45D6-8EA4-009500AE00B0}" type="list" allowBlank="1" error="Выберите значение из списка" errorTitle="Ошибка" prompt="Выберите значение из списка" showInputMessage="1">
          <x14:formula1>
            <xm:f>kind_of_cons</xm:f>
          </x14:formula1>
          <xm:sqref>V983092:BB983092 V917556:BB917556 V852020:BB852020 V786484:BB786484 V720948:BB720948 V655412:BB655412 V589876:BB589876 V524340:BB524340 V458804:BB458804 V393268:BB393268 V327732:BB327732 V262196:BB262196 V196660:BB196660 V131124:BB131124 V65588:BB65588</xm:sqref>
        </x14:dataValidation>
        <x14:dataValidation xr:uid="{00C200F2-000C-4180-A659-006F0033009D}" type="decimal" allowBlank="1" error="Допускается ввод только действительных чисел!" errorTitle="Ошибка" showErrorMessage="1">
          <x14:formula1>
            <xm:f>-9.99999999999999E+23</xm:f>
          </x14:formula1>
          <x14:formula2>
            <xm:f>9.99999999999999E+23</xm:f>
          </x14:formula2>
          <xm:sqref>AO52:AO53 AG8:AG11 AO8:AO9 AG52:AG55</xm:sqref>
        </x14:dataValidation>
        <x14:dataValidation xr:uid="{002900CE-0033-48E6-8DAD-00F8008700F2}" type="textLength" allowBlank="1" error="Допускается ввод не более 900 символов!" errorTitle="Ошибка" operator="lessThanOrEqual" showErrorMessage="1" showInputMessage="1">
          <x14:formula1>
            <xm:f>900</xm:f>
          </x14:formula1>
          <xm:sqref>BC65583:BC65590 BC131119:BC131126 BC196655:BC196662 BC262191:BC262198 BC327727:BC327734 BC393263:BC393270 BC458799:BC458806 BC524335:BC524342 BC589871:BC589878 BC655407:BC655414 BC720943:BC720950 BC786479:BC786486 BC852015:BC852022 BC917551:BC917558 BC983087:BC983094 AS8 T8:T12 AS52 T52:T56</xm:sqref>
        </x14:dataValidation>
        <x14:dataValidation xr:uid="{009E0070-0081-43ED-871D-00AB00020078}" type="list" allowBlank="1" error="Выберите значение из списка" errorTitle="Ошибка" showErrorMessage="1" showInputMessage="1">
          <x14:formula1>
            <xm:f>kind_of_scheme_in</xm:f>
          </x14:formula1>
          <xm:sqref>AD917555:AS917555 AD983091:AS983091 AD65587:AS65587 AD131123:AS131123 AD196659:AS196659 AD262195:AS262195 AD327731:AS327731 AD393267:AS393267 AD458803:AS458803 AD524339:AS524339 AD589875:AS589875 AD655411:AS655411 AD720947:AS720947 AD786483:AS786483 AD852019:AS852019</xm:sqref>
        </x14:dataValidation>
        <x14:dataValidation xr:uid="{00CF0050-00F5-4F31-B79F-00B40005002F}" type="list" allowBlank="1" error="Выберите значение из списка" errorTitle="Ошибка" showErrorMessage="1" showInputMessage="1">
          <x14:formula1>
            <xm:f>kind_of_heat_transfer</xm:f>
          </x14:formula1>
          <xm:sqref>T65589 T131125 T196661 T262197 T327733 T393269 T458805 T524341 T589877 T655413 T720949 T786485 T852021 T917557 T983093</xm:sqref>
        </x14:dataValidation>
      </x14:dataValidations>
    </ext>
  </extLst>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9" tint="-0.25"/>
  </sheetPr>
  <sheetViews>
    <sheetView showGridLines="0" topLeftCell="A1" zoomScale="90" workbookViewId="0">
      <selection activeCell="J24" sqref="J24"/>
    </sheetView>
  </sheetViews>
  <sheetFormatPr defaultColWidth="9.140625" defaultRowHeight="11.25" customHeight="1"/>
  <cols>
    <col customWidth="1" hidden="1" min="1" max="1" style="987" width="10.7109375"/>
    <col customWidth="1" hidden="1" min="2" max="2" style="1366" width="16.8515625"/>
    <col customWidth="1" hidden="1" min="3" max="3" style="1642" width="5.57421875"/>
    <col customWidth="1" min="4" max="4" style="1635" width="3.00390625"/>
    <col customWidth="1" min="5" max="5" style="1635" width="7.00390625"/>
    <col customWidth="1" min="6" max="6" style="1635" width="54.00390625"/>
    <col customWidth="1" min="7" max="7" style="1635" width="10.00390625"/>
    <col customWidth="1" hidden="1" min="8" max="8" style="1635" width="40.7109375"/>
    <col customWidth="1" min="9" max="10" style="1635" width="40.7109375"/>
    <col customWidth="1" min="11" max="11" style="1635" width="102.00390625"/>
    <col customWidth="1" min="12" max="12" style="1366" width="9.00390625"/>
    <col customWidth="1" min="13" max="13" style="1642" width="5.00390625"/>
    <col customWidth="1" min="14" max="14" style="1642" width="3.00390625"/>
    <col customWidth="1" min="15" max="18" style="1366" width="3.00390625"/>
    <col customWidth="1" min="19" max="19" style="1642" width="10.00390625"/>
    <col customWidth="1" min="20" max="20" style="1366" width="34.00390625"/>
    <col customWidth="1" min="21" max="21" style="1366" width="9.00390625"/>
    <col customWidth="1" min="22" max="22" style="736" width="8.00390625"/>
    <col customWidth="1" min="23" max="27" style="1366" width="8.00390625"/>
    <col customWidth="1" min="28" max="32" style="1632" width="8.00390625"/>
    <col hidden="1" min="33" max="33" style="1635" width="9.140625"/>
  </cols>
  <sheetData>
    <row r="1" ht="22.5" hidden="1" customHeight="1">
      <c r="J1" s="1635"/>
      <c r="AG1" s="1631" t="s">
        <v>14</v>
      </c>
    </row>
    <row r="2" ht="23.25" hidden="1" customHeight="1">
      <c r="B2" s="2099"/>
      <c r="C2" s="1167" t="s">
        <v>547</v>
      </c>
      <c r="D2" s="1638"/>
      <c r="E2" s="546">
        <f>B2</f>
        <v>0</v>
      </c>
      <c r="F2" s="547"/>
      <c r="G2" s="1646" t="s">
        <v>548</v>
      </c>
      <c r="H2" s="1646" t="s">
        <v>548</v>
      </c>
      <c r="I2" s="1646" t="s">
        <v>548</v>
      </c>
      <c r="J2" s="2312" t="s">
        <v>548</v>
      </c>
      <c r="K2" s="289" t="s">
        <v>549</v>
      </c>
      <c r="L2" s="543"/>
      <c r="AG2" s="1631">
        <v>0</v>
      </c>
    </row>
    <row r="3" s="1642" customFormat="1" ht="0.75" hidden="1" customHeight="1">
      <c r="B3" s="2099"/>
      <c r="C3" s="1167"/>
      <c r="D3" s="548"/>
      <c r="E3" s="549"/>
      <c r="F3" s="550" t="s">
        <v>550</v>
      </c>
      <c r="G3" s="551"/>
      <c r="H3" s="551">
        <f>H4*H5+H7</f>
        <v>0</v>
      </c>
      <c r="I3" s="551">
        <f>I4*I5+I6</f>
        <v>0</v>
      </c>
      <c r="J3" s="1373">
        <f>J4*J5+J7</f>
        <v>0</v>
      </c>
      <c r="K3" s="552"/>
      <c r="AG3" s="1636">
        <v>0</v>
      </c>
    </row>
    <row r="4" ht="23.25" hidden="1" customHeight="1">
      <c r="B4" s="2099"/>
      <c r="C4" s="1167"/>
      <c r="D4" s="1638"/>
      <c r="E4" s="546" t="str">
        <f>B2&amp;".1"</f>
        <v>.1</v>
      </c>
      <c r="F4" s="553" t="s">
        <v>551</v>
      </c>
      <c r="G4" s="554"/>
      <c r="H4" s="541"/>
      <c r="I4" s="541"/>
      <c r="J4" s="751"/>
      <c r="K4" s="289" t="s">
        <v>552</v>
      </c>
      <c r="L4" s="543"/>
      <c r="AG4" s="1631">
        <v>0</v>
      </c>
    </row>
    <row r="5" ht="18.75" hidden="1" customHeight="1">
      <c r="B5" s="2099"/>
      <c r="C5" s="1167"/>
      <c r="D5" s="1638"/>
      <c r="E5" s="546" t="str">
        <f>B2&amp;".2"</f>
        <v>.2</v>
      </c>
      <c r="F5" s="553" t="s">
        <v>553</v>
      </c>
      <c r="G5" s="1646" t="s">
        <v>554</v>
      </c>
      <c r="H5" s="541"/>
      <c r="I5" s="541"/>
      <c r="J5" s="751"/>
      <c r="K5" s="289"/>
      <c r="L5" s="543"/>
      <c r="AG5" s="1631">
        <v>0</v>
      </c>
    </row>
    <row r="6" ht="18.75" hidden="1" customHeight="1">
      <c r="B6" s="2099"/>
      <c r="C6" s="1167"/>
      <c r="D6" s="1638"/>
      <c r="E6" s="546" t="str">
        <f>B2&amp;".3"</f>
        <v>.3</v>
      </c>
      <c r="F6" s="553" t="s">
        <v>555</v>
      </c>
      <c r="G6" s="1646" t="s">
        <v>554</v>
      </c>
      <c r="H6" s="541"/>
      <c r="I6" s="541"/>
      <c r="J6" s="751"/>
      <c r="K6" s="289"/>
      <c r="L6" s="543"/>
      <c r="AG6" s="1631">
        <v>0</v>
      </c>
    </row>
    <row r="7" ht="18.75" hidden="1" customHeight="1">
      <c r="B7" s="2099"/>
      <c r="C7" s="1167"/>
      <c r="D7" s="1638"/>
      <c r="E7" s="546" t="str">
        <f>B2&amp;".4"</f>
        <v>.4</v>
      </c>
      <c r="F7" s="553" t="s">
        <v>556</v>
      </c>
      <c r="G7" s="1646" t="s">
        <v>548</v>
      </c>
      <c r="H7" s="555"/>
      <c r="I7" s="555"/>
      <c r="J7" s="555"/>
      <c r="K7" s="289"/>
      <c r="L7" s="543"/>
      <c r="AG7" s="1631">
        <v>0</v>
      </c>
    </row>
    <row r="8" s="1366" customFormat="1" ht="11.25" hidden="1" customHeight="1">
      <c r="A8" s="987"/>
      <c r="C8" s="1636"/>
      <c r="D8" s="537"/>
      <c r="H8" s="1160">
        <v>4</v>
      </c>
      <c r="I8" s="1160">
        <v>4</v>
      </c>
      <c r="J8" s="1366">
        <v>4</v>
      </c>
      <c r="M8" s="1636"/>
      <c r="N8" s="1636"/>
      <c r="S8" s="1636"/>
      <c r="AG8" s="1160">
        <v>0</v>
      </c>
    </row>
    <row r="9" s="1366" customFormat="1" ht="22.5" hidden="1" customHeight="1">
      <c r="A9" s="987"/>
      <c r="C9" s="1636"/>
      <c r="D9" s="538"/>
      <c r="E9" s="1648"/>
      <c r="F9" s="540"/>
      <c r="G9" s="1646" t="s">
        <v>554</v>
      </c>
      <c r="H9" s="541"/>
      <c r="I9" s="541"/>
      <c r="J9" s="751"/>
      <c r="K9" s="542" t="s">
        <v>557</v>
      </c>
      <c r="L9" s="543"/>
      <c r="M9" s="1636"/>
      <c r="N9" s="1636"/>
      <c r="S9" s="1636"/>
      <c r="V9" s="544"/>
      <c r="AB9" s="1632"/>
      <c r="AC9" s="1632"/>
      <c r="AD9" s="1632"/>
      <c r="AE9" s="1632"/>
      <c r="AF9" s="1632"/>
      <c r="AG9" s="1160">
        <v>0</v>
      </c>
    </row>
    <row r="10" ht="11.25" hidden="1" customHeight="1">
      <c r="J10" s="1635"/>
      <c r="AG10" s="1631">
        <v>0</v>
      </c>
    </row>
    <row r="11" ht="18.75" hidden="1" customHeight="1">
      <c r="D11" s="1638"/>
      <c r="E11" s="546"/>
      <c r="F11" s="540"/>
      <c r="G11" s="1646" t="s">
        <v>558</v>
      </c>
      <c r="H11" s="541"/>
      <c r="I11" s="541"/>
      <c r="J11" s="751"/>
      <c r="K11" s="289" t="s">
        <v>559</v>
      </c>
      <c r="L11" s="543"/>
      <c r="AG11" s="1631">
        <v>0</v>
      </c>
    </row>
    <row r="12" ht="11.25" hidden="1" customHeight="1">
      <c r="J12" s="1635"/>
      <c r="AG12" s="1631">
        <v>0</v>
      </c>
    </row>
    <row r="13" ht="22.5" hidden="1" customHeight="1">
      <c r="D13" s="1638"/>
      <c r="E13" s="546"/>
      <c r="F13" s="540"/>
      <c r="G13" s="969" t="s">
        <v>560</v>
      </c>
      <c r="H13" s="545"/>
      <c r="I13" s="545"/>
      <c r="J13" s="545"/>
      <c r="K13" s="745" t="s">
        <v>561</v>
      </c>
      <c r="L13" s="543"/>
      <c r="AG13" s="1631">
        <v>0</v>
      </c>
    </row>
    <row r="14" ht="11.25" hidden="1" customHeight="1">
      <c r="J14" s="1635"/>
      <c r="AG14" s="1631">
        <v>0</v>
      </c>
    </row>
    <row r="15" ht="22.5" hidden="1" customHeight="1">
      <c r="D15" s="1638"/>
      <c r="E15" s="546"/>
      <c r="F15" s="540"/>
      <c r="G15" s="1646" t="s">
        <v>562</v>
      </c>
      <c r="H15" s="545"/>
      <c r="I15" s="545"/>
      <c r="J15" s="545"/>
      <c r="K15" s="289" t="s">
        <v>563</v>
      </c>
      <c r="L15" s="543"/>
      <c r="AG15" s="1631">
        <v>0</v>
      </c>
    </row>
    <row r="16" ht="11.25" hidden="1" customHeight="1">
      <c r="J16" s="1635"/>
      <c r="AG16" s="1631">
        <v>0</v>
      </c>
    </row>
    <row r="17" ht="22.5" hidden="1" customHeight="1">
      <c r="D17" s="1638"/>
      <c r="E17" s="546"/>
      <c r="F17" s="540"/>
      <c r="G17" s="1646" t="s">
        <v>564</v>
      </c>
      <c r="H17" s="545"/>
      <c r="I17" s="545"/>
      <c r="J17" s="545"/>
      <c r="K17" s="289" t="s">
        <v>565</v>
      </c>
      <c r="L17" s="543"/>
      <c r="AG17" s="1631">
        <v>0</v>
      </c>
    </row>
    <row r="18" ht="11.25" hidden="1" customHeight="1">
      <c r="J18" s="1635"/>
      <c r="AG18" s="1631">
        <v>0</v>
      </c>
    </row>
    <row r="19" s="1632" customFormat="1" ht="11.25" hidden="1" customHeight="1">
      <c r="A19" s="987"/>
      <c r="B19" s="1160"/>
      <c r="C19" s="1636"/>
      <c r="D19" s="362"/>
      <c r="J19" s="1632"/>
      <c r="K19" s="1632">
        <v>4</v>
      </c>
      <c r="L19" s="1160"/>
      <c r="M19" s="1636"/>
      <c r="N19" s="1636"/>
      <c r="O19" s="1160"/>
      <c r="P19" s="1160"/>
      <c r="Q19" s="1160"/>
      <c r="R19" s="1160"/>
      <c r="S19" s="1636"/>
      <c r="T19" s="1160"/>
      <c r="U19" s="1160"/>
      <c r="V19" s="544"/>
      <c r="W19" s="1160"/>
      <c r="X19" s="1160"/>
      <c r="Y19" s="1160"/>
      <c r="Z19" s="1160"/>
      <c r="AA19" s="1160"/>
      <c r="AG19" s="1632">
        <v>0</v>
      </c>
    </row>
    <row r="20" ht="11.5" customHeight="1">
      <c r="J20" s="1635"/>
      <c r="AG20" s="1631">
        <v>11</v>
      </c>
    </row>
    <row r="21" ht="25.199999999999999" customHeight="1">
      <c r="E21" s="2248" t="str">
        <f>FHD_NAME_FORM</f>
        <v xml:space="preserve">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21" s="2248"/>
      <c r="G21" s="2248"/>
      <c r="H21" s="2248"/>
      <c r="I21" s="2248"/>
      <c r="J21" s="2248"/>
      <c r="K21" s="556"/>
      <c r="AG21" s="1631">
        <v>24</v>
      </c>
    </row>
    <row r="22" ht="25.199999999999999" customHeight="1">
      <c r="E22" s="2249" t="str">
        <f>IF(org=0,"Не определено",org)</f>
        <v xml:space="preserve">филиал ПАО "ОГК-2" - Рязанская ГРЭС</v>
      </c>
      <c r="F22" s="2249"/>
      <c r="G22" s="2249"/>
      <c r="H22" s="2249"/>
      <c r="I22" s="2249"/>
      <c r="J22" s="2249"/>
      <c r="AG22" s="1631">
        <v>24</v>
      </c>
    </row>
    <row r="23" ht="11.5" customHeight="1">
      <c r="E23" s="1135"/>
      <c r="F23" s="1135"/>
      <c r="G23" s="1135"/>
      <c r="H23" s="1135"/>
      <c r="I23" s="1135"/>
      <c r="J23" s="1136" t="s">
        <v>22</v>
      </c>
      <c r="AG23" s="1631">
        <v>11</v>
      </c>
    </row>
    <row r="24" s="1642" customFormat="1" ht="1.05" customHeight="1">
      <c r="A24" s="1167"/>
      <c r="D24" s="1642"/>
      <c r="H24" s="889"/>
      <c r="I24" s="889" t="s">
        <v>117</v>
      </c>
      <c r="J24" s="889" t="s">
        <v>123</v>
      </c>
      <c r="AG24" s="1636">
        <v>1</v>
      </c>
    </row>
    <row r="25" ht="11.5" customHeight="1">
      <c r="E25" s="711"/>
      <c r="F25" s="2367" t="s">
        <v>105</v>
      </c>
      <c r="G25" s="2368"/>
      <c r="H25" s="1652" t="str">
        <f>IF(H24="","",INDEX(DIFFERENTIATION_UNMERGE_VD,MATCH(H24,DIFFERENTIATION_ID_DIFF,0)))</f>
        <v/>
      </c>
      <c r="I25" s="1652" t="str">
        <f>IF(I24="","",INDEX(DIFFERENTIATION_UNMERGE_VD,MATCH(I24,DIFFERENTIATION_ID_DIFF,0)))</f>
        <v>Водоотведение</v>
      </c>
      <c r="J25" s="2393" t="str">
        <f>IF(J24="","",INDEX(DIFFERENTIATION_UNMERGE_VD,MATCH(J24,DIFFERENTIATION_ID_DIFF,0)))</f>
        <v>Транспортировка</v>
      </c>
      <c r="K25" s="2127"/>
      <c r="AG25" s="1631">
        <v>11</v>
      </c>
    </row>
    <row r="26" ht="11.5" customHeight="1">
      <c r="E26" s="711"/>
      <c r="F26" s="2367" t="s">
        <v>566</v>
      </c>
      <c r="G26" s="2368"/>
      <c r="H26" s="1652" t="str">
        <f>IF(H24="","",INDEX(DIFFERENTIATION_UNMERGE_AREA,MATCH(H24,DIFFERENTIATION_ID_DIFF,0)))</f>
        <v/>
      </c>
      <c r="I26" s="1652" t="str">
        <f>IF(I24="","",INDEX(DIFFERENTIATION_UNMERGE_AREA,MATCH(I24,DIFFERENTIATION_ID_DIFF,0)))</f>
        <v xml:space="preserve">без дифференциации</v>
      </c>
      <c r="J26" s="2393" t="str">
        <f>IF(J24="","",INDEX(DIFFERENTIATION_UNMERGE_AREA,MATCH(J24,DIFFERENTIATION_ID_DIFF,0)))</f>
        <v xml:space="preserve">без дифференциации</v>
      </c>
      <c r="K26" s="2127"/>
      <c r="AG26" s="1631">
        <v>11</v>
      </c>
    </row>
    <row r="27" ht="11.5" customHeight="1">
      <c r="E27" s="711"/>
      <c r="F27" s="2367" t="s">
        <v>567</v>
      </c>
      <c r="G27" s="2368"/>
      <c r="H27" s="1652" t="str">
        <f>IF(H24="","",INDEX(DIFFERENTIATION_UNMERGE_SYSTEM,MATCH(H24,DIFFERENTIATION_ID_DIFF,0)))</f>
        <v/>
      </c>
      <c r="I27" s="1652" t="str">
        <f>IF(I24="","",INDEX(DIFFERENTIATION_UNMERGE_SYSTEM,MATCH(I24,DIFFERENTIATION_ID_DIFF,0)))</f>
        <v xml:space="preserve">без дифференциации</v>
      </c>
      <c r="J27" s="2393" t="str">
        <f>IF(J24="","",INDEX(DIFFERENTIATION_UNMERGE_SYSTEM,MATCH(J24,DIFFERENTIATION_ID_DIFF,0)))</f>
        <v xml:space="preserve">без дифференциации</v>
      </c>
      <c r="K27" s="2127"/>
      <c r="AG27" s="1631">
        <v>11</v>
      </c>
    </row>
    <row r="28" ht="11.5" customHeight="1">
      <c r="E28" s="2369" t="s">
        <v>302</v>
      </c>
      <c r="F28" s="2370"/>
      <c r="G28" s="2370"/>
      <c r="H28" s="1645"/>
      <c r="I28" s="1645"/>
      <c r="J28" s="2367"/>
      <c r="K28" s="2127"/>
      <c r="AG28" s="1631">
        <v>11</v>
      </c>
    </row>
    <row r="29" ht="24" customHeight="1">
      <c r="E29" s="1646" t="s">
        <v>87</v>
      </c>
      <c r="F29" s="1653" t="s">
        <v>304</v>
      </c>
      <c r="G29" s="1653" t="s">
        <v>568</v>
      </c>
      <c r="H29" s="1653" t="s">
        <v>305</v>
      </c>
      <c r="I29" s="1653" t="s">
        <v>305</v>
      </c>
      <c r="J29" s="2312" t="s">
        <v>305</v>
      </c>
      <c r="K29" s="2127"/>
      <c r="AG29" s="1631">
        <v>23</v>
      </c>
    </row>
    <row r="30" ht="19.949999999999999" customHeight="1">
      <c r="D30" s="1638"/>
      <c r="E30" s="546">
        <f>FHD_NUM_P_1</f>
        <v>1</v>
      </c>
      <c r="F30" s="1880" t="str">
        <f>FHD_P_1</f>
        <v xml:space="preserve">Выручка от регулируемых видов деятельности в сфере водоотведения</v>
      </c>
      <c r="G30" s="1878" t="s">
        <v>554</v>
      </c>
      <c r="H30" s="557"/>
      <c r="I30" s="557"/>
      <c r="J30" s="557"/>
      <c r="K30" s="289" t="str">
        <f>FHD_NOTE_P_1</f>
        <v xml:space="preserve">Указывается выручка с распределением по видам деятельности.</v>
      </c>
      <c r="L30" s="543"/>
      <c r="AG30" s="1631">
        <v>19</v>
      </c>
    </row>
    <row r="31" ht="11.5" customHeight="1">
      <c r="D31" s="1638"/>
      <c r="E31" s="546">
        <f>FHD_NUM_P_2</f>
        <v>2</v>
      </c>
      <c r="F31" s="1880" t="str">
        <f>FHD_P_2</f>
        <v xml:space="preserve">Себестоимость производимых товаров (оказываемых услуг) по регулируемым видам деятельности в сфере водоотведения, включая:</v>
      </c>
      <c r="G31" s="1878" t="s">
        <v>554</v>
      </c>
      <c r="H31" s="558">
        <f>SUMIF($L33:$L71,$L31,H33:H71)</f>
        <v>0</v>
      </c>
      <c r="I31" s="558">
        <f>SUMIF($L33:$L71,$L31,I33:I71)</f>
        <v>0</v>
      </c>
      <c r="J31" s="558">
        <f>SUMIF($L33:$L71,$L31,J33:J71)</f>
        <v>0</v>
      </c>
      <c r="K31" s="289" t="str">
        <f>FHD_NOTE_P_2</f>
        <v xml:space="preserve">Указывается суммарная себестоимость производимых товаров.</v>
      </c>
      <c r="L31" s="1636" t="s">
        <v>569</v>
      </c>
      <c r="AG31" s="1631">
        <v>11</v>
      </c>
    </row>
    <row r="32" ht="11.5" customHeight="1">
      <c r="D32" s="1638"/>
      <c r="E32" s="546" t="str">
        <f>FHD_NUM_P_3</f>
        <v>2.1</v>
      </c>
      <c r="F32" s="1524" t="str">
        <f>FHD_P_3</f>
        <v xml:space="preserve">Расходы на оплату услуг по приему, транспортировке и очистке сточных вод другими организациями</v>
      </c>
      <c r="G32" s="1878" t="s">
        <v>554</v>
      </c>
      <c r="H32" s="557"/>
      <c r="I32" s="557"/>
      <c r="J32" s="557"/>
      <c r="K32" s="289" t="str">
        <f>FHD_NOTE_P_3</f>
        <v/>
      </c>
      <c r="L32" s="1636" t="str">
        <f>IF((LEN(E32)-LEN(SUBSTITUTE(E32,".","")))/LEN(".")=1,"p","")</f>
        <v>p</v>
      </c>
      <c r="AG32" s="1631">
        <v>11</v>
      </c>
    </row>
    <row r="33" ht="11.25" hidden="1" customHeight="1">
      <c r="A33" s="2371" t="s">
        <v>570</v>
      </c>
      <c r="D33" s="1638"/>
      <c r="E33" s="546" t="str">
        <f>FHD_NUM_P_4</f>
        <v/>
      </c>
      <c r="F33" s="1524" t="str">
        <f>FHD_P_4</f>
        <v/>
      </c>
      <c r="G33" s="1878" t="s">
        <v>554</v>
      </c>
      <c r="H33" s="558">
        <f>SUMIF($F34:$F40,$F3,H34:H40)</f>
        <v>0</v>
      </c>
      <c r="I33" s="558">
        <f>SUMIF($F34:$F40,$F3,I34:I40)</f>
        <v>0</v>
      </c>
      <c r="J33" s="558">
        <f>SUMIF($F34:$F40,$F3,J34:J40)</f>
        <v>0</v>
      </c>
      <c r="K33" s="289" t="str">
        <f>FHD_NOTE_P_4</f>
        <v/>
      </c>
      <c r="L33" s="1636" t="str">
        <f>IF((LEN(E33)-LEN(SUBSTITUTE(E33,".","")))/LEN(".")=1,"p","")</f>
        <v/>
      </c>
      <c r="AG33" s="1631">
        <v>0</v>
      </c>
    </row>
    <row r="34" s="1641" customFormat="1" ht="0.75" hidden="1" customHeight="1">
      <c r="A34" s="2371"/>
      <c r="B34" s="2372" t="str">
        <f>E33&amp;".0"</f>
        <v>.0</v>
      </c>
      <c r="C34" s="1167"/>
      <c r="D34" s="560"/>
      <c r="E34" s="561"/>
      <c r="F34" s="562"/>
      <c r="G34" s="563"/>
      <c r="H34" s="497"/>
      <c r="I34" s="497"/>
      <c r="J34" s="497"/>
      <c r="K34" s="564"/>
      <c r="L34" s="1636" t="str">
        <f>IF((LEN(E34)-LEN(SUBSTITUTE(E34,".","")))/LEN(".")=1,"p","")</f>
        <v/>
      </c>
      <c r="M34" s="1636"/>
      <c r="N34" s="1636"/>
      <c r="O34" s="1636"/>
      <c r="P34" s="1636"/>
      <c r="Q34" s="1636"/>
      <c r="R34" s="1636"/>
      <c r="S34" s="1636"/>
      <c r="T34" s="1636"/>
      <c r="U34" s="1636"/>
      <c r="V34" s="565"/>
      <c r="W34" s="1636"/>
      <c r="X34" s="1636"/>
      <c r="Y34" s="1636"/>
      <c r="Z34" s="1636"/>
      <c r="AA34" s="1636"/>
      <c r="AB34" s="566"/>
      <c r="AC34" s="566"/>
      <c r="AD34" s="566"/>
      <c r="AE34" s="566"/>
      <c r="AF34" s="566"/>
      <c r="AG34" s="1641">
        <v>0</v>
      </c>
    </row>
    <row r="35" s="1641" customFormat="1" ht="0.75" hidden="1" customHeight="1">
      <c r="A35" s="2371"/>
      <c r="B35" s="2372"/>
      <c r="C35" s="1167"/>
      <c r="D35" s="560"/>
      <c r="E35" s="567"/>
      <c r="F35" s="568"/>
      <c r="G35" s="563"/>
      <c r="H35" s="569"/>
      <c r="I35" s="569"/>
      <c r="J35" s="569"/>
      <c r="K35" s="564"/>
      <c r="L35" s="1636" t="str">
        <f>IF((LEN(E35)-LEN(SUBSTITUTE(E35,".","")))/LEN(".")=1,"p","")</f>
        <v/>
      </c>
      <c r="M35" s="1636"/>
      <c r="N35" s="1636"/>
      <c r="O35" s="1636"/>
      <c r="P35" s="1636"/>
      <c r="Q35" s="1636"/>
      <c r="R35" s="1636"/>
      <c r="S35" s="1636"/>
      <c r="T35" s="1636"/>
      <c r="U35" s="1636"/>
      <c r="V35" s="565"/>
      <c r="W35" s="1636"/>
      <c r="X35" s="1636"/>
      <c r="Y35" s="1636"/>
      <c r="Z35" s="1636"/>
      <c r="AA35" s="1636"/>
      <c r="AB35" s="566"/>
      <c r="AC35" s="566"/>
      <c r="AD35" s="566"/>
      <c r="AE35" s="566"/>
      <c r="AF35" s="566"/>
      <c r="AG35" s="1641">
        <v>0</v>
      </c>
    </row>
    <row r="36" s="1641" customFormat="1" ht="0.75" hidden="1" customHeight="1">
      <c r="A36" s="2371"/>
      <c r="B36" s="2372"/>
      <c r="C36" s="1167"/>
      <c r="D36" s="560"/>
      <c r="E36" s="567"/>
      <c r="F36" s="568"/>
      <c r="G36" s="563"/>
      <c r="H36" s="569"/>
      <c r="I36" s="569"/>
      <c r="J36" s="569"/>
      <c r="K36" s="564"/>
      <c r="L36" s="1636" t="str">
        <f>IF((LEN(E36)-LEN(SUBSTITUTE(E36,".","")))/LEN(".")=1,"p","")</f>
        <v/>
      </c>
      <c r="M36" s="1636"/>
      <c r="N36" s="1636"/>
      <c r="O36" s="1636"/>
      <c r="P36" s="1636"/>
      <c r="Q36" s="1636"/>
      <c r="R36" s="1636"/>
      <c r="S36" s="1636"/>
      <c r="T36" s="1636"/>
      <c r="U36" s="1636"/>
      <c r="V36" s="565"/>
      <c r="W36" s="1636"/>
      <c r="X36" s="1636"/>
      <c r="Y36" s="1636"/>
      <c r="Z36" s="1636"/>
      <c r="AA36" s="1636"/>
      <c r="AB36" s="566"/>
      <c r="AC36" s="566"/>
      <c r="AD36" s="566"/>
      <c r="AE36" s="566"/>
      <c r="AF36" s="566"/>
      <c r="AG36" s="1641">
        <v>0</v>
      </c>
    </row>
    <row r="37" s="1641" customFormat="1" ht="0.75" hidden="1" customHeight="1">
      <c r="A37" s="2371"/>
      <c r="B37" s="2372"/>
      <c r="C37" s="1167"/>
      <c r="D37" s="560"/>
      <c r="E37" s="567"/>
      <c r="F37" s="568"/>
      <c r="G37" s="563"/>
      <c r="H37" s="569"/>
      <c r="I37" s="569"/>
      <c r="J37" s="569"/>
      <c r="K37" s="564"/>
      <c r="L37" s="1636" t="str">
        <f>IF((LEN(E37)-LEN(SUBSTITUTE(E37,".","")))/LEN(".")=1,"p","")</f>
        <v/>
      </c>
      <c r="M37" s="1636"/>
      <c r="N37" s="1636"/>
      <c r="O37" s="1636"/>
      <c r="P37" s="1636"/>
      <c r="Q37" s="1636"/>
      <c r="R37" s="1636"/>
      <c r="S37" s="1636"/>
      <c r="T37" s="1636"/>
      <c r="U37" s="1636"/>
      <c r="V37" s="565"/>
      <c r="W37" s="1636"/>
      <c r="X37" s="1636"/>
      <c r="Y37" s="1636"/>
      <c r="Z37" s="1636"/>
      <c r="AA37" s="1636"/>
      <c r="AB37" s="566"/>
      <c r="AC37" s="566"/>
      <c r="AD37" s="566"/>
      <c r="AE37" s="566"/>
      <c r="AF37" s="566"/>
      <c r="AG37" s="1641">
        <v>0</v>
      </c>
    </row>
    <row r="38" s="1641" customFormat="1" ht="0.75" hidden="1" customHeight="1">
      <c r="A38" s="2371"/>
      <c r="B38" s="2372"/>
      <c r="C38" s="1167"/>
      <c r="D38" s="560"/>
      <c r="E38" s="567"/>
      <c r="F38" s="568"/>
      <c r="G38" s="563"/>
      <c r="H38" s="569"/>
      <c r="I38" s="569"/>
      <c r="J38" s="569"/>
      <c r="K38" s="564"/>
      <c r="L38" s="1636" t="str">
        <f>IF((LEN(E38)-LEN(SUBSTITUTE(E38,".","")))/LEN(".")=1,"p","")</f>
        <v/>
      </c>
      <c r="M38" s="1636"/>
      <c r="N38" s="1636"/>
      <c r="O38" s="1636"/>
      <c r="P38" s="1636"/>
      <c r="Q38" s="1636"/>
      <c r="R38" s="1636"/>
      <c r="S38" s="1636"/>
      <c r="T38" s="1636"/>
      <c r="U38" s="1636"/>
      <c r="V38" s="565"/>
      <c r="W38" s="1636"/>
      <c r="X38" s="1636"/>
      <c r="Y38" s="1636"/>
      <c r="Z38" s="1636"/>
      <c r="AA38" s="1636"/>
      <c r="AB38" s="566"/>
      <c r="AC38" s="566"/>
      <c r="AD38" s="566"/>
      <c r="AE38" s="566"/>
      <c r="AF38" s="566"/>
      <c r="AG38" s="1641">
        <v>0</v>
      </c>
    </row>
    <row r="39" s="1641" customFormat="1" ht="0.75" hidden="1" customHeight="1">
      <c r="A39" s="2371"/>
      <c r="B39" s="2372"/>
      <c r="C39" s="1167"/>
      <c r="D39" s="560"/>
      <c r="E39" s="567"/>
      <c r="F39" s="568"/>
      <c r="G39" s="563"/>
      <c r="H39" s="497"/>
      <c r="I39" s="497"/>
      <c r="J39" s="497"/>
      <c r="K39" s="564"/>
      <c r="L39" s="1636" t="str">
        <f>IF((LEN(E39)-LEN(SUBSTITUTE(E39,".","")))/LEN(".")=1,"p","")</f>
        <v/>
      </c>
      <c r="M39" s="1636"/>
      <c r="N39" s="1636"/>
      <c r="O39" s="1636"/>
      <c r="P39" s="1636"/>
      <c r="Q39" s="1636"/>
      <c r="R39" s="1636"/>
      <c r="S39" s="1636"/>
      <c r="T39" s="1636"/>
      <c r="U39" s="1636"/>
      <c r="V39" s="565"/>
      <c r="W39" s="1636"/>
      <c r="X39" s="1636"/>
      <c r="Y39" s="1636"/>
      <c r="Z39" s="1636"/>
      <c r="AA39" s="1636"/>
      <c r="AB39" s="566"/>
      <c r="AC39" s="566"/>
      <c r="AD39" s="566"/>
      <c r="AE39" s="566"/>
      <c r="AF39" s="566"/>
      <c r="AG39" s="1641">
        <v>0</v>
      </c>
    </row>
    <row r="40" s="1366" customFormat="1" ht="15" hidden="1" customHeight="1">
      <c r="A40" s="2371"/>
      <c r="C40" s="1636"/>
      <c r="D40" s="1633"/>
      <c r="E40" s="570"/>
      <c r="F40" s="571" t="s">
        <v>571</v>
      </c>
      <c r="G40" s="572"/>
      <c r="H40" s="573"/>
      <c r="I40" s="573"/>
      <c r="J40" s="2631"/>
      <c r="K40" s="301"/>
      <c r="L40" s="1636" t="str">
        <f>IF((LEN(E40)-LEN(SUBSTITUTE(E40,".","")))/LEN(".")=1,"p","")</f>
        <v/>
      </c>
      <c r="M40" s="1636"/>
      <c r="N40" s="1636"/>
      <c r="S40" s="1636"/>
      <c r="V40" s="544"/>
      <c r="AB40" s="1632"/>
      <c r="AC40" s="1632"/>
      <c r="AD40" s="1632"/>
      <c r="AE40" s="1632"/>
      <c r="AF40" s="1632"/>
      <c r="AG40" s="1160">
        <v>0</v>
      </c>
    </row>
    <row r="41" ht="11.25" hidden="1" customHeight="1">
      <c r="A41" s="2371" t="s">
        <v>572</v>
      </c>
      <c r="D41" s="1638"/>
      <c r="E41" s="546" t="str">
        <f>FHD_NUM_P_5</f>
        <v/>
      </c>
      <c r="F41" s="1524" t="str">
        <f>FHD_P_5</f>
        <v/>
      </c>
      <c r="G41" s="1878" t="s">
        <v>554</v>
      </c>
      <c r="H41" s="557"/>
      <c r="I41" s="557"/>
      <c r="J41" s="557"/>
      <c r="K41" s="289" t="str">
        <f>FHD_NOTE_P_5</f>
        <v/>
      </c>
      <c r="L41" s="1636" t="str">
        <f>IF((LEN(E41)-LEN(SUBSTITUTE(E41,".","")))/LEN(".")=1,"p","")</f>
        <v/>
      </c>
      <c r="AG41" s="1631">
        <v>0</v>
      </c>
    </row>
    <row r="42" ht="11.25" hidden="1" customHeight="1">
      <c r="A42" s="2371"/>
      <c r="D42" s="1638"/>
      <c r="E42" s="546" t="str">
        <f>FHD_NUM_P_6</f>
        <v/>
      </c>
      <c r="F42" s="1524" t="str">
        <f>FHD_P_6</f>
        <v/>
      </c>
      <c r="G42" s="1878" t="s">
        <v>554</v>
      </c>
      <c r="H42" s="557"/>
      <c r="I42" s="557"/>
      <c r="J42" s="557"/>
      <c r="K42" s="289" t="str">
        <f>FHD_NOTE_P_6</f>
        <v/>
      </c>
      <c r="L42" s="1636" t="str">
        <f>IF((LEN(E42)-LEN(SUBSTITUTE(E42,".","")))/LEN(".")=1,"p","")</f>
        <v/>
      </c>
      <c r="AG42" s="1631">
        <v>0</v>
      </c>
    </row>
    <row r="43" ht="11.25" hidden="1" customHeight="1">
      <c r="A43" s="2371"/>
      <c r="D43" s="1638"/>
      <c r="E43" s="546" t="str">
        <f>FHD_NUM_P_7</f>
        <v/>
      </c>
      <c r="F43" s="1524" t="str">
        <f>FHD_P_7</f>
        <v/>
      </c>
      <c r="G43" s="1878" t="s">
        <v>554</v>
      </c>
      <c r="H43" s="557"/>
      <c r="I43" s="557"/>
      <c r="J43" s="557"/>
      <c r="K43" s="289" t="str">
        <f>FHD_NOTE_P_7</f>
        <v/>
      </c>
      <c r="L43" s="1636" t="str">
        <f>IF((LEN(E43)-LEN(SUBSTITUTE(E43,".","")))/LEN(".")=1,"p","")</f>
        <v/>
      </c>
      <c r="AG43" s="1631">
        <v>0</v>
      </c>
    </row>
    <row r="44" ht="11.5" customHeight="1">
      <c r="D44" s="1638"/>
      <c r="E44" s="546" t="str">
        <f>FHD_NUM_P_8</f>
        <v>2.2</v>
      </c>
      <c r="F44" s="1524" t="str">
        <f>FHD_P_8</f>
        <v xml:space="preserve">Расходы на приобретаемую электрическую энергию (мощность), используемую в технологическом процессе</v>
      </c>
      <c r="G44" s="1878" t="s">
        <v>554</v>
      </c>
      <c r="H44" s="557"/>
      <c r="I44" s="557"/>
      <c r="J44" s="557"/>
      <c r="K44" s="289" t="str">
        <f>FHD_NOTE_P_8</f>
        <v/>
      </c>
      <c r="L44" s="1636" t="str">
        <f>IF((LEN(E44)-LEN(SUBSTITUTE(E44,".","")))/LEN(".")=1,"p","")</f>
        <v>p</v>
      </c>
      <c r="AG44" s="1631">
        <v>11</v>
      </c>
    </row>
    <row r="45" ht="11.5" customHeight="1">
      <c r="D45" s="1638"/>
      <c r="E45" s="546" t="str">
        <f>FHD_NUM_P_9</f>
        <v>2.2.1</v>
      </c>
      <c r="F45" s="1650" t="str">
        <f>FHD_P_9</f>
        <v xml:space="preserve">Средневзвешенная стоимость 1 кВт.ч (с учетом мощности)</v>
      </c>
      <c r="G45" s="1878" t="s">
        <v>573</v>
      </c>
      <c r="H45" s="557"/>
      <c r="I45" s="557"/>
      <c r="J45" s="557"/>
      <c r="K45" s="289" t="str">
        <f>FHD_NOTE_P_9</f>
        <v/>
      </c>
      <c r="L45" s="1636" t="str">
        <f>IF((LEN(E45)-LEN(SUBSTITUTE(E45,".","")))/LEN(".")=1,"p","")</f>
        <v/>
      </c>
      <c r="AG45" s="1631">
        <v>11</v>
      </c>
    </row>
    <row r="46" s="1366" customFormat="1" ht="11.5" customHeight="1">
      <c r="A46" s="987"/>
      <c r="C46" s="1636"/>
      <c r="D46" s="574"/>
      <c r="E46" s="546" t="str">
        <f>FHD_NUM_P_10</f>
        <v>2.2.2</v>
      </c>
      <c r="F46" s="1650" t="str">
        <f>FHD_P_10</f>
        <v xml:space="preserve">Объём приобретения электрической энергии</v>
      </c>
      <c r="G46" s="1878" t="s">
        <v>574</v>
      </c>
      <c r="H46" s="557"/>
      <c r="I46" s="557"/>
      <c r="J46" s="557"/>
      <c r="K46" s="289" t="str">
        <f>FHD_NOTE_P_10</f>
        <v/>
      </c>
      <c r="L46" s="1636" t="str">
        <f>IF((LEN(E46)-LEN(SUBSTITUTE(E46,".","")))/LEN(".")=1,"p","")</f>
        <v/>
      </c>
      <c r="M46" s="1636"/>
      <c r="N46" s="1636"/>
      <c r="S46" s="1636"/>
      <c r="V46" s="544"/>
      <c r="AB46" s="1632"/>
      <c r="AC46" s="1632"/>
      <c r="AD46" s="1632"/>
      <c r="AE46" s="1632"/>
      <c r="AF46" s="1632"/>
      <c r="AG46" s="1160">
        <v>11</v>
      </c>
    </row>
    <row r="47" s="1366" customFormat="1" ht="11.25" hidden="1" customHeight="1">
      <c r="A47" s="989" t="s">
        <v>575</v>
      </c>
      <c r="C47" s="1636"/>
      <c r="D47" s="575"/>
      <c r="E47" s="546" t="str">
        <f>FHD_NUM_P_11</f>
        <v/>
      </c>
      <c r="F47" s="1524" t="str">
        <f>FHD_P_11</f>
        <v/>
      </c>
      <c r="G47" s="1878" t="s">
        <v>554</v>
      </c>
      <c r="H47" s="557"/>
      <c r="I47" s="557"/>
      <c r="J47" s="557"/>
      <c r="K47" s="289" t="str">
        <f>FHD_NOTE_P_11</f>
        <v/>
      </c>
      <c r="L47" s="1636" t="str">
        <f>IF((LEN(E47)-LEN(SUBSTITUTE(E47,".","")))/LEN(".")=1,"p","")</f>
        <v/>
      </c>
      <c r="M47" s="1636"/>
      <c r="N47" s="1636"/>
      <c r="S47" s="1636"/>
      <c r="V47" s="544"/>
      <c r="AB47" s="1632"/>
      <c r="AC47" s="1632"/>
      <c r="AD47" s="1632"/>
      <c r="AE47" s="1632"/>
      <c r="AF47" s="1632"/>
      <c r="AG47" s="1160">
        <v>0</v>
      </c>
    </row>
    <row r="48" s="1366" customFormat="1" ht="18.75" customHeight="1">
      <c r="A48" s="989" t="s">
        <v>576</v>
      </c>
      <c r="C48" s="1636"/>
      <c r="D48" s="1638"/>
      <c r="E48" s="546" t="str">
        <f>FHD_NUM_P_12</f>
        <v>2.3</v>
      </c>
      <c r="F48" s="1524" t="str">
        <f>FHD_P_12</f>
        <v xml:space="preserve">Расходы на химические реагенты, используемые в технологическом процессе</v>
      </c>
      <c r="G48" s="1878" t="s">
        <v>554</v>
      </c>
      <c r="H48" s="577"/>
      <c r="I48" s="577"/>
      <c r="J48" s="577"/>
      <c r="K48" s="289" t="str">
        <f>FHD_NOTE_P_12</f>
        <v/>
      </c>
      <c r="L48" s="1636" t="str">
        <f>IF((LEN(E48)-LEN(SUBSTITUTE(E48,".","")))/LEN(".")=1,"p","")</f>
        <v>p</v>
      </c>
      <c r="M48" s="1636"/>
      <c r="N48" s="1636"/>
      <c r="S48" s="1636"/>
      <c r="V48" s="544"/>
      <c r="AB48" s="1632"/>
      <c r="AC48" s="1632"/>
      <c r="AD48" s="1632"/>
      <c r="AE48" s="1632"/>
      <c r="AF48" s="1632"/>
      <c r="AG48" s="1160">
        <v>18</v>
      </c>
    </row>
    <row r="49" s="1365" customFormat="1" ht="11.5" customHeight="1">
      <c r="A49" s="988"/>
      <c r="C49" s="730"/>
      <c r="D49" s="673"/>
      <c r="E49" s="546" t="str">
        <f>FHD_NUM_P_13</f>
        <v>2.4</v>
      </c>
      <c r="F49" s="1524" t="str">
        <f>FHD_P_13</f>
        <v xml:space="preserve">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554</v>
      </c>
      <c r="H49" s="557"/>
      <c r="I49" s="557"/>
      <c r="J49" s="557"/>
      <c r="K49" s="289" t="str">
        <f>FHD_NOTE_P_13</f>
        <v xml:space="preserve">Указывается общая сумма расходов на оплату труда и отчислений на социальные нужды основного производственного персонала.</v>
      </c>
      <c r="L49" s="1636" t="str">
        <f>IF((LEN(E49)-LEN(SUBSTITUTE(E49,".","")))/LEN(".")=1,"p","")</f>
        <v>p</v>
      </c>
      <c r="M49" s="730"/>
      <c r="N49" s="730"/>
      <c r="S49" s="730"/>
      <c r="V49" s="731"/>
      <c r="AB49" s="732"/>
      <c r="AC49" s="732"/>
      <c r="AD49" s="732"/>
      <c r="AE49" s="732"/>
      <c r="AF49" s="732"/>
      <c r="AG49" s="729">
        <v>11</v>
      </c>
    </row>
    <row r="50" s="1365" customFormat="1" ht="11.5" customHeight="1">
      <c r="A50" s="988"/>
      <c r="C50" s="730"/>
      <c r="D50" s="673"/>
      <c r="E50" s="546" t="str">
        <f>FHD_NUM_P_14</f>
        <v>2.4.1</v>
      </c>
      <c r="F50" s="1650" t="str">
        <f>FHD_P_14</f>
        <v xml:space="preserve">Расходы на оплату труда основного производственного персонала</v>
      </c>
      <c r="G50" s="1878" t="s">
        <v>554</v>
      </c>
      <c r="H50" s="557"/>
      <c r="I50" s="557"/>
      <c r="J50" s="557"/>
      <c r="K50" s="289" t="str">
        <f>FHD_NOTE_P_14</f>
        <v/>
      </c>
      <c r="L50" s="1636" t="str">
        <f>IF((LEN(E50)-LEN(SUBSTITUTE(E50,".","")))/LEN(".")=1,"p","")</f>
        <v/>
      </c>
      <c r="M50" s="730"/>
      <c r="N50" s="730"/>
      <c r="S50" s="730"/>
      <c r="V50" s="731"/>
      <c r="AB50" s="732"/>
      <c r="AC50" s="732"/>
      <c r="AD50" s="732"/>
      <c r="AE50" s="732"/>
      <c r="AF50" s="732"/>
      <c r="AG50" s="729">
        <v>11</v>
      </c>
    </row>
    <row r="51" s="1365" customFormat="1" ht="11.5" customHeight="1">
      <c r="A51" s="988"/>
      <c r="C51" s="730"/>
      <c r="D51" s="673"/>
      <c r="E51" s="546" t="str">
        <f>FHD_NUM_P_15</f>
        <v>2.4.2</v>
      </c>
      <c r="F51" s="1650" t="str">
        <f>FHD_P_15</f>
        <v xml:space="preserve">Страховые взносы на обязательное социальное страхование, выплачиваемые из фонда оплаты труда основного производственного персонала</v>
      </c>
      <c r="G51" s="1878" t="s">
        <v>554</v>
      </c>
      <c r="H51" s="557"/>
      <c r="I51" s="557"/>
      <c r="J51" s="557"/>
      <c r="K51" s="289" t="str">
        <f>FHD_NOTE_P_15</f>
        <v/>
      </c>
      <c r="L51" s="1636" t="str">
        <f>IF((LEN(E51)-LEN(SUBSTITUTE(E51,".","")))/LEN(".")=1,"p","")</f>
        <v/>
      </c>
      <c r="M51" s="730"/>
      <c r="N51" s="730"/>
      <c r="S51" s="730"/>
      <c r="V51" s="731"/>
      <c r="AB51" s="732"/>
      <c r="AC51" s="732"/>
      <c r="AD51" s="732"/>
      <c r="AE51" s="732"/>
      <c r="AF51" s="732"/>
      <c r="AG51" s="729">
        <v>11</v>
      </c>
    </row>
    <row r="52" s="1366" customFormat="1" ht="11.5" customHeight="1">
      <c r="A52" s="987"/>
      <c r="C52" s="1636"/>
      <c r="D52" s="1638"/>
      <c r="E52" s="546" t="str">
        <f>FHD_NUM_P_16</f>
        <v>2.5</v>
      </c>
      <c r="F52" s="1524" t="str">
        <f>FHD_P_16</f>
        <v xml:space="preserve">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78" t="s">
        <v>554</v>
      </c>
      <c r="H52" s="557"/>
      <c r="I52" s="557"/>
      <c r="J52" s="557"/>
      <c r="K52" s="289" t="str">
        <f>FHD_NOTE_P_16</f>
        <v xml:space="preserve">Указывается общая сумма расходов на оплату труда и отчислений на социальные нужды административно-управленческого персонала.</v>
      </c>
      <c r="L52" s="1636" t="str">
        <f>IF((LEN(E52)-LEN(SUBSTITUTE(E52,".","")))/LEN(".")=1,"p","")</f>
        <v>p</v>
      </c>
      <c r="M52" s="1636"/>
      <c r="N52" s="1642"/>
      <c r="O52" s="537"/>
      <c r="P52" s="537"/>
      <c r="S52" s="1636"/>
      <c r="V52" s="544"/>
      <c r="AB52" s="1632"/>
      <c r="AC52" s="1632"/>
      <c r="AD52" s="1632"/>
      <c r="AE52" s="1632"/>
      <c r="AF52" s="1632"/>
      <c r="AG52" s="1160">
        <v>11</v>
      </c>
    </row>
    <row r="53" s="1366" customFormat="1" ht="11.5" customHeight="1">
      <c r="A53" s="987"/>
      <c r="C53" s="1636"/>
      <c r="D53" s="1638"/>
      <c r="E53" s="546" t="str">
        <f>FHD_NUM_P_17</f>
        <v>2.5.1</v>
      </c>
      <c r="F53" s="1650" t="str">
        <f>FHD_P_17</f>
        <v xml:space="preserve">Расходы на оплату труда административно-управленческого персонала, в том числе:</v>
      </c>
      <c r="G53" s="1878" t="s">
        <v>554</v>
      </c>
      <c r="H53" s="557"/>
      <c r="I53" s="557"/>
      <c r="J53" s="557"/>
      <c r="K53" s="289" t="str">
        <f>FHD_NOTE_P_17</f>
        <v/>
      </c>
      <c r="L53" s="1636" t="str">
        <f>IF((LEN(E53)-LEN(SUBSTITUTE(E53,".","")))/LEN(".")=1,"p","")</f>
        <v/>
      </c>
      <c r="M53" s="1636"/>
      <c r="N53" s="1642"/>
      <c r="O53" s="537"/>
      <c r="P53" s="537"/>
      <c r="S53" s="1636"/>
      <c r="V53" s="544"/>
      <c r="AB53" s="1632"/>
      <c r="AC53" s="1632"/>
      <c r="AD53" s="1632"/>
      <c r="AE53" s="1632"/>
      <c r="AF53" s="1632"/>
      <c r="AG53" s="1160">
        <v>11</v>
      </c>
    </row>
    <row r="54" s="1366" customFormat="1" ht="11.5" customHeight="1">
      <c r="A54" s="987"/>
      <c r="C54" s="1636"/>
      <c r="D54" s="1638"/>
      <c r="E54" s="546" t="str">
        <f>FHD_NUM_P_18</f>
        <v>2.5.2</v>
      </c>
      <c r="F54" s="1650" t="str">
        <f>FHD_P_18</f>
        <v xml:space="preserve">Страховые взносы на обязательное социальное страхование, выплачиваемые из фонда оплаты труда административно-управленческого персонала</v>
      </c>
      <c r="G54" s="1878" t="s">
        <v>554</v>
      </c>
      <c r="H54" s="557"/>
      <c r="I54" s="557"/>
      <c r="J54" s="557"/>
      <c r="K54" s="289" t="str">
        <f>FHD_NOTE_P_18</f>
        <v/>
      </c>
      <c r="L54" s="1636" t="str">
        <f>IF((LEN(E54)-LEN(SUBSTITUTE(E54,".","")))/LEN(".")=1,"p","")</f>
        <v/>
      </c>
      <c r="M54" s="1636"/>
      <c r="N54" s="1642"/>
      <c r="O54" s="537"/>
      <c r="P54" s="537"/>
      <c r="S54" s="1636"/>
      <c r="V54" s="544"/>
      <c r="AB54" s="1632"/>
      <c r="AC54" s="1632"/>
      <c r="AD54" s="1632"/>
      <c r="AE54" s="1632"/>
      <c r="AF54" s="1632"/>
      <c r="AG54" s="1160">
        <v>11</v>
      </c>
    </row>
    <row r="55" s="1366" customFormat="1" ht="11.5" customHeight="1">
      <c r="A55" s="987"/>
      <c r="C55" s="1636"/>
      <c r="D55" s="575"/>
      <c r="E55" s="546" t="str">
        <f>FHD_NUM_P_19</f>
        <v>2.6</v>
      </c>
      <c r="F55" s="1524" t="str">
        <f>FHD_P_19</f>
        <v xml:space="preserve">Расходы на амортизацию основных средств и нематериальных активов</v>
      </c>
      <c r="G55" s="1878" t="s">
        <v>554</v>
      </c>
      <c r="H55" s="557"/>
      <c r="I55" s="557"/>
      <c r="J55" s="557"/>
      <c r="K55" s="289" t="str">
        <f>FHD_NOTE_P_19</f>
        <v/>
      </c>
      <c r="L55" s="1636" t="str">
        <f>IF((LEN(E55)-LEN(SUBSTITUTE(E55,".","")))/LEN(".")=1,"p","")</f>
        <v>p</v>
      </c>
      <c r="M55" s="1636"/>
      <c r="N55" s="1636"/>
      <c r="S55" s="1636"/>
      <c r="V55" s="544"/>
      <c r="AB55" s="1632"/>
      <c r="AC55" s="1632"/>
      <c r="AD55" s="1632"/>
      <c r="AE55" s="1632"/>
      <c r="AF55" s="1632"/>
      <c r="AG55" s="1160">
        <v>11</v>
      </c>
    </row>
    <row r="56" s="1366" customFormat="1" ht="11.5" customHeight="1">
      <c r="A56" s="987"/>
      <c r="C56" s="1636"/>
      <c r="D56" s="575"/>
      <c r="E56" s="546" t="str">
        <f>FHD_NUM_P_20</f>
        <v>2.6.1</v>
      </c>
      <c r="F56" s="1650" t="str">
        <f>FHD_P_20</f>
        <v xml:space="preserve">Расходы на амортизацию основных средств</v>
      </c>
      <c r="G56" s="1878" t="s">
        <v>554</v>
      </c>
      <c r="H56" s="557"/>
      <c r="I56" s="557"/>
      <c r="J56" s="557"/>
      <c r="K56" s="289" t="str">
        <f>FHD_NOTE_P_20</f>
        <v/>
      </c>
      <c r="L56" s="1636" t="str">
        <f>IF((LEN(E56)-LEN(SUBSTITUTE(E56,".","")))/LEN(".")=1,"p","")</f>
        <v/>
      </c>
      <c r="M56" s="1636"/>
      <c r="N56" s="1636"/>
      <c r="S56" s="1636"/>
      <c r="V56" s="544"/>
      <c r="AB56" s="1632"/>
      <c r="AC56" s="1632"/>
      <c r="AD56" s="1632"/>
      <c r="AE56" s="1632"/>
      <c r="AF56" s="1632"/>
      <c r="AG56" s="1160">
        <v>11</v>
      </c>
    </row>
    <row r="57" s="1366" customFormat="1" ht="11.5" customHeight="1">
      <c r="A57" s="987"/>
      <c r="C57" s="1636"/>
      <c r="D57" s="575"/>
      <c r="E57" s="546" t="str">
        <f>FHD_NUM_P_21</f>
        <v>2.6.2</v>
      </c>
      <c r="F57" s="1650" t="str">
        <f>FHD_P_21</f>
        <v xml:space="preserve">Расходы на амортизацию нематериальных активов</v>
      </c>
      <c r="G57" s="1878" t="s">
        <v>554</v>
      </c>
      <c r="H57" s="557"/>
      <c r="I57" s="557"/>
      <c r="J57" s="557"/>
      <c r="K57" s="289" t="str">
        <f>FHD_NOTE_P_21</f>
        <v/>
      </c>
      <c r="L57" s="1636" t="str">
        <f>IF((LEN(E57)-LEN(SUBSTITUTE(E57,".","")))/LEN(".")=1,"p","")</f>
        <v/>
      </c>
      <c r="M57" s="1636"/>
      <c r="N57" s="1636"/>
      <c r="S57" s="1636"/>
      <c r="V57" s="544"/>
      <c r="AB57" s="1632"/>
      <c r="AC57" s="1632"/>
      <c r="AD57" s="1632"/>
      <c r="AE57" s="1632"/>
      <c r="AF57" s="1632"/>
      <c r="AG57" s="1160">
        <v>11</v>
      </c>
    </row>
    <row r="58" s="1366" customFormat="1" ht="11.5" customHeight="1">
      <c r="A58" s="987"/>
      <c r="C58" s="1636"/>
      <c r="D58" s="1638"/>
      <c r="E58" s="546" t="str">
        <f>FHD_NUM_P_22</f>
        <v>2.7</v>
      </c>
      <c r="F58" s="1524" t="str">
        <f>FHD_P_22</f>
        <v xml:space="preserve">Расходы на аренду имущества, используемого для осуществления регулируемых видов деятельности в сфере водоотведения</v>
      </c>
      <c r="G58" s="1878" t="s">
        <v>554</v>
      </c>
      <c r="H58" s="557"/>
      <c r="I58" s="557"/>
      <c r="J58" s="557"/>
      <c r="K58" s="289" t="str">
        <f>FHD_NOTE_P_22</f>
        <v/>
      </c>
      <c r="L58" s="1636" t="str">
        <f>IF((LEN(E58)-LEN(SUBSTITUTE(E58,".","")))/LEN(".")=1,"p","")</f>
        <v>p</v>
      </c>
      <c r="M58" s="1636"/>
      <c r="N58" s="1636"/>
      <c r="S58" s="1636"/>
      <c r="V58" s="544"/>
      <c r="AB58" s="1632"/>
      <c r="AC58" s="1632"/>
      <c r="AD58" s="1632"/>
      <c r="AE58" s="1632"/>
      <c r="AF58" s="1632"/>
      <c r="AG58" s="1160">
        <v>11</v>
      </c>
    </row>
    <row r="59" s="1366" customFormat="1" ht="11.5" customHeight="1">
      <c r="A59" s="987"/>
      <c r="C59" s="1636"/>
      <c r="D59" s="575"/>
      <c r="E59" s="546" t="str">
        <f>FHD_NUM_P_23</f>
        <v>2.8</v>
      </c>
      <c r="F59" s="1524" t="str">
        <f>FHD_P_23</f>
        <v xml:space="preserve">Общепроизводственные расходы, в том числе:</v>
      </c>
      <c r="G59" s="1878" t="s">
        <v>554</v>
      </c>
      <c r="H59" s="557"/>
      <c r="I59" s="557"/>
      <c r="J59" s="557"/>
      <c r="K59" s="289" t="str">
        <f>FHD_NOTE_P_23</f>
        <v xml:space="preserve">Указывается общая сумма общепроизводственных расходов.</v>
      </c>
      <c r="L59" s="1636" t="str">
        <f>IF((LEN(E59)-LEN(SUBSTITUTE(E59,".","")))/LEN(".")=1,"p","")</f>
        <v>p</v>
      </c>
      <c r="M59" s="1636"/>
      <c r="N59" s="1636"/>
      <c r="S59" s="1636"/>
      <c r="V59" s="544"/>
      <c r="AB59" s="1632"/>
      <c r="AC59" s="1632"/>
      <c r="AD59" s="1632"/>
      <c r="AE59" s="1632"/>
      <c r="AF59" s="1632"/>
      <c r="AG59" s="1160">
        <v>11</v>
      </c>
    </row>
    <row r="60" s="1366" customFormat="1" ht="11.5" customHeight="1">
      <c r="A60" s="987"/>
      <c r="C60" s="1636"/>
      <c r="D60" s="575"/>
      <c r="E60" s="546" t="str">
        <f>FHD_NUM_P_24</f>
        <v>2.8.1</v>
      </c>
      <c r="F60" s="1650" t="str">
        <f>FHD_P_24</f>
        <v xml:space="preserve">Расходы на текущий ремонт</v>
      </c>
      <c r="G60" s="1878" t="s">
        <v>554</v>
      </c>
      <c r="H60" s="557"/>
      <c r="I60" s="557"/>
      <c r="J60" s="557"/>
      <c r="K60" s="289" t="str">
        <f>FHD_NOTE_P_24</f>
        <v xml:space="preserve">Указываются расходы на текущий ремонт, отнесенные к общепроизводственным расходам.</v>
      </c>
      <c r="L60" s="1636" t="str">
        <f>IF((LEN(E60)-LEN(SUBSTITUTE(E60,".","")))/LEN(".")=1,"p","")</f>
        <v/>
      </c>
      <c r="M60" s="1636"/>
      <c r="N60" s="1636"/>
      <c r="S60" s="1636"/>
      <c r="V60" s="544"/>
      <c r="AB60" s="1632"/>
      <c r="AC60" s="1632"/>
      <c r="AD60" s="1632"/>
      <c r="AE60" s="1632"/>
      <c r="AF60" s="1632"/>
      <c r="AG60" s="1160">
        <v>11</v>
      </c>
    </row>
    <row r="61" s="1366" customFormat="1" ht="11.5" customHeight="1">
      <c r="A61" s="987"/>
      <c r="C61" s="1636"/>
      <c r="D61" s="575"/>
      <c r="E61" s="546" t="str">
        <f>FHD_NUM_P_25</f>
        <v>2.8.2</v>
      </c>
      <c r="F61" s="1650" t="str">
        <f>FHD_P_25</f>
        <v xml:space="preserve">Расходы на капитальный ремонт</v>
      </c>
      <c r="G61" s="1878" t="s">
        <v>554</v>
      </c>
      <c r="H61" s="557"/>
      <c r="I61" s="557"/>
      <c r="J61" s="557"/>
      <c r="K61" s="289" t="str">
        <f>FHD_NOTE_P_25</f>
        <v xml:space="preserve">Указываются расходы на капитальный ремонт, отнесенные к общепроизводственным расходам.</v>
      </c>
      <c r="L61" s="1636" t="str">
        <f>IF((LEN(E61)-LEN(SUBSTITUTE(E61,".","")))/LEN(".")=1,"p","")</f>
        <v/>
      </c>
      <c r="M61" s="1636"/>
      <c r="N61" s="1636"/>
      <c r="S61" s="1636"/>
      <c r="V61" s="544"/>
      <c r="AB61" s="1632"/>
      <c r="AC61" s="1632"/>
      <c r="AD61" s="1632"/>
      <c r="AE61" s="1632"/>
      <c r="AF61" s="1632"/>
      <c r="AG61" s="1160">
        <v>11</v>
      </c>
    </row>
    <row r="62" s="1366" customFormat="1" ht="11.5" customHeight="1">
      <c r="A62" s="987"/>
      <c r="C62" s="1636"/>
      <c r="D62" s="1638"/>
      <c r="E62" s="546" t="str">
        <f>FHD_NUM_P_26</f>
        <v>2.9</v>
      </c>
      <c r="F62" s="1524" t="str">
        <f>FHD_P_26</f>
        <v xml:space="preserve">Общехозяйственные расходы, в том числе:</v>
      </c>
      <c r="G62" s="1878" t="s">
        <v>554</v>
      </c>
      <c r="H62" s="557"/>
      <c r="I62" s="557"/>
      <c r="J62" s="557"/>
      <c r="K62" s="289" t="str">
        <f>FHD_NOTE_P_26</f>
        <v xml:space="preserve">Указывается общая сумма общехозяйственных расходов.</v>
      </c>
      <c r="L62" s="1636" t="str">
        <f>IF((LEN(E62)-LEN(SUBSTITUTE(E62,".","")))/LEN(".")=1,"p","")</f>
        <v>p</v>
      </c>
      <c r="M62" s="1636"/>
      <c r="N62" s="1636"/>
      <c r="S62" s="1636"/>
      <c r="V62" s="544"/>
      <c r="AB62" s="1632"/>
      <c r="AC62" s="1632"/>
      <c r="AD62" s="1632"/>
      <c r="AE62" s="1632"/>
      <c r="AF62" s="1632"/>
      <c r="AG62" s="1160">
        <v>11</v>
      </c>
    </row>
    <row r="63" s="1366" customFormat="1" ht="11.5" customHeight="1">
      <c r="A63" s="987"/>
      <c r="C63" s="1636"/>
      <c r="D63" s="1638"/>
      <c r="E63" s="546" t="str">
        <f>FHD_NUM_P_27</f>
        <v>2.9.1</v>
      </c>
      <c r="F63" s="1650" t="str">
        <f>FHD_P_27</f>
        <v xml:space="preserve">Расходы на текущий ремонт</v>
      </c>
      <c r="G63" s="1878" t="s">
        <v>554</v>
      </c>
      <c r="H63" s="557"/>
      <c r="I63" s="557"/>
      <c r="J63" s="557"/>
      <c r="K63" s="289" t="str">
        <f>FHD_NOTE_P_27</f>
        <v xml:space="preserve">Указываются расходы на текущий ремонт, отнесенные к общехозяйственным расходам.</v>
      </c>
      <c r="L63" s="1636" t="str">
        <f>IF((LEN(E63)-LEN(SUBSTITUTE(E63,".","")))/LEN(".")=1,"p","")</f>
        <v/>
      </c>
      <c r="M63" s="1636"/>
      <c r="N63" s="1636"/>
      <c r="S63" s="1636"/>
      <c r="V63" s="544"/>
      <c r="AB63" s="1632"/>
      <c r="AC63" s="1632"/>
      <c r="AD63" s="1632"/>
      <c r="AE63" s="1632"/>
      <c r="AF63" s="1632"/>
      <c r="AG63" s="1160">
        <v>11</v>
      </c>
    </row>
    <row r="64" s="1366" customFormat="1" ht="11.5" customHeight="1">
      <c r="A64" s="987"/>
      <c r="C64" s="1636"/>
      <c r="D64" s="1638"/>
      <c r="E64" s="546" t="str">
        <f>FHD_NUM_P_28</f>
        <v>2.9.2</v>
      </c>
      <c r="F64" s="1650" t="str">
        <f>FHD_P_28</f>
        <v xml:space="preserve">Расходы на капитальный ремонт</v>
      </c>
      <c r="G64" s="1878" t="s">
        <v>554</v>
      </c>
      <c r="H64" s="557"/>
      <c r="I64" s="557"/>
      <c r="J64" s="557"/>
      <c r="K64" s="289" t="str">
        <f>FHD_NOTE_P_28</f>
        <v xml:space="preserve">Указываются расходы на капитальный ремонт, отнесенные к общехозяйственным расходам.</v>
      </c>
      <c r="L64" s="1636" t="str">
        <f>IF((LEN(E64)-LEN(SUBSTITUTE(E64,".","")))/LEN(".")=1,"p","")</f>
        <v/>
      </c>
      <c r="M64" s="1636"/>
      <c r="N64" s="1636"/>
      <c r="S64" s="1636"/>
      <c r="V64" s="544"/>
      <c r="AB64" s="1632"/>
      <c r="AC64" s="1632"/>
      <c r="AD64" s="1632"/>
      <c r="AE64" s="1632"/>
      <c r="AF64" s="1632"/>
      <c r="AG64" s="1160">
        <v>11</v>
      </c>
    </row>
    <row r="65" s="1366" customFormat="1" ht="11.5" customHeight="1">
      <c r="A65" s="987"/>
      <c r="C65" s="1636"/>
      <c r="D65" s="1638"/>
      <c r="E65" s="546" t="str">
        <f>FHD_NUM_P_29</f>
        <v>2.10</v>
      </c>
      <c r="F65" s="1524" t="str">
        <f>FHD_P_29</f>
        <v xml:space="preserve">Расходы на капитальный и текущий ремонт основных средств</v>
      </c>
      <c r="G65" s="1878" t="s">
        <v>554</v>
      </c>
      <c r="H65" s="557"/>
      <c r="I65" s="557"/>
      <c r="J65" s="557"/>
      <c r="K65" s="289" t="str">
        <f>FHD_NOTE_P_29</f>
        <v xml:space="preserve">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65" s="1636" t="str">
        <f>IF((LEN(E65)-LEN(SUBSTITUTE(E65,".","")))/LEN(".")=1,"p","")</f>
        <v>p</v>
      </c>
      <c r="M65" s="1636"/>
      <c r="N65" s="1636"/>
      <c r="S65" s="1636"/>
      <c r="V65" s="544"/>
      <c r="AB65" s="1632"/>
      <c r="AC65" s="1632"/>
      <c r="AD65" s="1632"/>
      <c r="AE65" s="1632"/>
      <c r="AF65" s="1632"/>
      <c r="AG65" s="1160">
        <v>11</v>
      </c>
    </row>
    <row r="66" s="1366" customFormat="1" ht="11.5" customHeight="1">
      <c r="A66" s="987"/>
      <c r="C66" s="1636"/>
      <c r="D66" s="1638"/>
      <c r="E66" s="546" t="str">
        <f>FHD_NUM_P_30</f>
        <v>2.10.1</v>
      </c>
      <c r="F66" s="1650" t="str">
        <f>FHD_P_30</f>
        <v xml:space="preserve">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308</v>
      </c>
      <c r="H66" s="1649" t="s">
        <v>577</v>
      </c>
      <c r="I66" s="1649" t="s">
        <v>577</v>
      </c>
      <c r="J66" s="2485" t="s">
        <v>577</v>
      </c>
      <c r="K66" s="289" t="str">
        <f>FHD_NOTE_P_30</f>
        <v/>
      </c>
      <c r="L66" s="1636" t="str">
        <f>IF((LEN(E66)-LEN(SUBSTITUTE(E66,".","")))/LEN(".")=1,"p","")</f>
        <v/>
      </c>
      <c r="M66" s="1636">
        <f>_xlfn.IFERROR(MATCH("есть",B_FHD_FLAG_INDEX_1,0),0)</f>
        <v>0</v>
      </c>
      <c r="N66" s="1636"/>
      <c r="S66" s="1636"/>
      <c r="V66" s="544"/>
      <c r="AB66" s="1632"/>
      <c r="AC66" s="1632"/>
      <c r="AD66" s="1632"/>
      <c r="AE66" s="1632"/>
      <c r="AF66" s="1632"/>
      <c r="AG66" s="1160">
        <v>11</v>
      </c>
    </row>
    <row r="67" s="1366" customFormat="1" ht="23.25" customHeight="1">
      <c r="A67" s="2371" t="s">
        <v>578</v>
      </c>
      <c r="C67" s="1636"/>
      <c r="D67" s="1638"/>
      <c r="E67" s="546" t="str">
        <f>FHD_NUM_P_31</f>
        <v>2.11</v>
      </c>
      <c r="F67" s="1524" t="str">
        <f>FHD_P_31</f>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78" t="s">
        <v>554</v>
      </c>
      <c r="H67" s="557"/>
      <c r="I67" s="557"/>
      <c r="J67" s="557"/>
      <c r="K67" s="289" t="str">
        <f>FHD_NOTE_P_31</f>
        <v xml:space="preserve">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67" s="1636" t="str">
        <f>IF((LEN(E67)-LEN(SUBSTITUTE(E67,".","")))/LEN(".")=1,"p","")</f>
        <v>p</v>
      </c>
      <c r="M67" s="1636"/>
      <c r="N67" s="1636"/>
      <c r="S67" s="1636"/>
      <c r="V67" s="544"/>
      <c r="AB67" s="1632"/>
      <c r="AC67" s="1632"/>
      <c r="AD67" s="1632"/>
      <c r="AE67" s="1632"/>
      <c r="AF67" s="1632"/>
      <c r="AG67" s="1160">
        <v>22</v>
      </c>
    </row>
    <row r="68" s="1366" customFormat="1" ht="47.25" customHeight="1">
      <c r="A68" s="2371"/>
      <c r="C68" s="1636"/>
      <c r="D68" s="1638"/>
      <c r="E68" s="546" t="str">
        <f>FHD_NUM_P_32</f>
        <v>2.11.1</v>
      </c>
      <c r="F68" s="1650" t="str">
        <f>FHD_P_32</f>
        <v xml:space="preserve">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8" t="s">
        <v>308</v>
      </c>
      <c r="H68" s="1649" t="s">
        <v>577</v>
      </c>
      <c r="I68" s="1649" t="s">
        <v>577</v>
      </c>
      <c r="J68" s="2485" t="s">
        <v>577</v>
      </c>
      <c r="K68" s="289" t="str">
        <f>FHD_NOTE_P_32</f>
        <v/>
      </c>
      <c r="L68" s="1636" t="str">
        <f>IF((LEN(E68)-LEN(SUBSTITUTE(E68,".","")))/LEN(".")=1,"p","")</f>
        <v/>
      </c>
      <c r="M68" s="1636">
        <f>_xlfn.IFERROR(MATCH("есть",B_FHD_FLAG_INDEX_2,0),0)</f>
        <v>0</v>
      </c>
      <c r="N68" s="1636"/>
      <c r="S68" s="1636"/>
      <c r="V68" s="544"/>
      <c r="AB68" s="1632"/>
      <c r="AC68" s="1632"/>
      <c r="AD68" s="1632"/>
      <c r="AE68" s="1632"/>
      <c r="AF68" s="1632"/>
      <c r="AG68" s="1160">
        <v>45</v>
      </c>
    </row>
    <row r="69" s="1366" customFormat="1" ht="11.5" customHeight="1">
      <c r="A69" s="987"/>
      <c r="C69" s="1636"/>
      <c r="D69" s="1638"/>
      <c r="E69" s="546" t="str">
        <f>FHD_NUM_P_33</f>
        <v>2.12</v>
      </c>
      <c r="F69" s="1524" t="str">
        <f>FHD_P_33</f>
        <v xml:space="preserve">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G69" s="1879" t="s">
        <v>554</v>
      </c>
      <c r="H69" s="579">
        <f>SUM(H70:H71)</f>
        <v>0</v>
      </c>
      <c r="I69" s="579">
        <f>SUM(I70:I71)</f>
        <v>0</v>
      </c>
      <c r="J69" s="579">
        <f>SUM(J70:J71)</f>
        <v>0</v>
      </c>
      <c r="K69" s="289" t="str">
        <f>FHD_NOTE_P_33</f>
        <v xml:space="preserve">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69" s="1636" t="str">
        <f>IF((LEN(E69)-LEN(SUBSTITUTE(E69,".","")))/LEN(".")=1,"p","")</f>
        <v>p</v>
      </c>
      <c r="M69" s="1636"/>
      <c r="N69" s="1636"/>
      <c r="S69" s="1636"/>
      <c r="V69" s="544"/>
      <c r="AB69" s="1632"/>
      <c r="AC69" s="1632"/>
      <c r="AD69" s="1632"/>
      <c r="AE69" s="1632"/>
      <c r="AF69" s="1632"/>
      <c r="AG69" s="1160">
        <v>11</v>
      </c>
    </row>
    <row r="70" s="1642" customFormat="1" ht="1.05" customHeight="1">
      <c r="A70" s="1167"/>
      <c r="D70" s="548"/>
      <c r="E70" s="1013" t="str">
        <f>E69&amp;".0"</f>
        <v>2.12.0</v>
      </c>
      <c r="F70" s="991"/>
      <c r="G70" s="1013"/>
      <c r="H70" s="992"/>
      <c r="I70" s="992"/>
      <c r="J70" s="992"/>
      <c r="K70" s="993"/>
      <c r="L70" s="1636" t="str">
        <f>IF((LEN(E70)-LEN(SUBSTITUTE(E70,".","")))/LEN(".")=1,"p","")</f>
        <v/>
      </c>
      <c r="AG70" s="1636">
        <v>1</v>
      </c>
    </row>
    <row r="71" s="1366" customFormat="1" ht="14.65" customHeight="1">
      <c r="A71" s="987"/>
      <c r="C71" s="1636"/>
      <c r="D71" s="1633"/>
      <c r="E71" s="570"/>
      <c r="F71" s="571" t="s">
        <v>579</v>
      </c>
      <c r="G71" s="572"/>
      <c r="H71" s="573"/>
      <c r="I71" s="573"/>
      <c r="J71" s="2631"/>
      <c r="K71" s="301"/>
      <c r="L71" s="1636"/>
      <c r="M71" s="1636"/>
      <c r="N71" s="1636"/>
      <c r="S71" s="1636"/>
      <c r="V71" s="544"/>
      <c r="AB71" s="1632"/>
      <c r="AC71" s="1632"/>
      <c r="AD71" s="1632"/>
      <c r="AE71" s="1632"/>
      <c r="AF71" s="1632"/>
      <c r="AG71" s="1160">
        <v>14</v>
      </c>
    </row>
    <row r="72" s="1366" customFormat="1" ht="18.75" hidden="1" customHeight="1">
      <c r="A72" s="989" t="s">
        <v>580</v>
      </c>
      <c r="C72" s="1636"/>
      <c r="D72" s="1638"/>
      <c r="E72" s="546" t="str">
        <f>FHD_NUM_P_34</f>
        <v/>
      </c>
      <c r="F72" s="1880" t="str">
        <f>FHD_P_34</f>
        <v/>
      </c>
      <c r="G72" s="1878" t="s">
        <v>554</v>
      </c>
      <c r="H72" s="557"/>
      <c r="I72" s="557"/>
      <c r="J72" s="557"/>
      <c r="K72" s="289" t="str">
        <f>FHD_NOTE_P_34</f>
        <v/>
      </c>
      <c r="L72" s="543"/>
      <c r="M72" s="1636"/>
      <c r="N72" s="1636"/>
      <c r="S72" s="1636"/>
      <c r="V72" s="544"/>
      <c r="AB72" s="1632"/>
      <c r="AC72" s="1632"/>
      <c r="AD72" s="1632"/>
      <c r="AE72" s="1632"/>
      <c r="AF72" s="1632"/>
      <c r="AG72" s="1160">
        <v>0</v>
      </c>
    </row>
    <row r="73" s="1366" customFormat="1" ht="19.949999999999999" customHeight="1">
      <c r="A73" s="987"/>
      <c r="C73" s="1636"/>
      <c r="D73" s="575"/>
      <c r="E73" s="546" t="str">
        <f>FHD_NUM_P_35</f>
        <v>3</v>
      </c>
      <c r="F73" s="1880" t="str">
        <f>FHD_P_35</f>
        <v xml:space="preserve">Чистая прибыль, полученная от регулируемого вида деятельности в сфере водоотведения, в том числе:</v>
      </c>
      <c r="G73" s="1878" t="s">
        <v>554</v>
      </c>
      <c r="H73" s="557"/>
      <c r="I73" s="557"/>
      <c r="J73" s="557"/>
      <c r="K73" s="289" t="str">
        <f>FHD_NOTE_P_35</f>
        <v xml:space="preserve">Указывается общая сумма чистой прибыли, полученной от регулируемого вида деятельности.</v>
      </c>
      <c r="L73" s="543"/>
      <c r="M73" s="1636"/>
      <c r="N73" s="1636"/>
      <c r="S73" s="1636"/>
      <c r="V73" s="544"/>
      <c r="AB73" s="1632"/>
      <c r="AC73" s="1632"/>
      <c r="AD73" s="1632"/>
      <c r="AE73" s="1632"/>
      <c r="AF73" s="1632"/>
      <c r="AG73" s="1160">
        <v>19</v>
      </c>
    </row>
    <row r="74" s="1366" customFormat="1" ht="19.949999999999999" customHeight="1">
      <c r="A74" s="987"/>
      <c r="C74" s="1636"/>
      <c r="D74" s="1638"/>
      <c r="E74" s="546" t="str">
        <f>FHD_NUM_P_36</f>
        <v>3.1</v>
      </c>
      <c r="F74" s="1524" t="str">
        <f>FHD_P_36</f>
        <v xml:space="preserve">Размер расходования чистой прибыли на финансирование мероприятий, предусмотренных инвестиционной программой регулируемой организации</v>
      </c>
      <c r="G74" s="1878" t="s">
        <v>554</v>
      </c>
      <c r="H74" s="557"/>
      <c r="I74" s="557"/>
      <c r="J74" s="557"/>
      <c r="K74" s="289" t="str">
        <f>FHD_NOTE_P_36</f>
        <v/>
      </c>
      <c r="L74" s="543"/>
      <c r="M74" s="1636"/>
      <c r="N74" s="1636"/>
      <c r="S74" s="1636"/>
      <c r="V74" s="544"/>
      <c r="AB74" s="1632"/>
      <c r="AC74" s="1632"/>
      <c r="AD74" s="1632"/>
      <c r="AE74" s="1632"/>
      <c r="AF74" s="1632"/>
      <c r="AG74" s="1160">
        <v>19</v>
      </c>
    </row>
    <row r="75" s="1366" customFormat="1" ht="19.949999999999999" customHeight="1">
      <c r="A75" s="987"/>
      <c r="C75" s="1636"/>
      <c r="D75" s="1638"/>
      <c r="E75" s="546" t="str">
        <f>FHD_NUM_P_37</f>
        <v>4</v>
      </c>
      <c r="F75" s="1880" t="str">
        <f>FHD_P_37</f>
        <v xml:space="preserve">Изменение стоимости основных фондов, в том числе:</v>
      </c>
      <c r="G75" s="1878" t="s">
        <v>554</v>
      </c>
      <c r="H75" s="557"/>
      <c r="I75" s="557"/>
      <c r="J75" s="557"/>
      <c r="K75" s="289" t="str">
        <f>FHD_NOTE_P_37</f>
        <v xml:space="preserve">Указывается общее изменение стоимости основных фондов.</v>
      </c>
      <c r="L75" s="543"/>
      <c r="M75" s="1636"/>
      <c r="N75" s="1636"/>
      <c r="S75" s="1636"/>
      <c r="V75" s="544"/>
      <c r="AB75" s="1632"/>
      <c r="AC75" s="1632"/>
      <c r="AD75" s="1632"/>
      <c r="AE75" s="1632"/>
      <c r="AF75" s="1632"/>
      <c r="AG75" s="1160">
        <v>19</v>
      </c>
    </row>
    <row r="76" s="1366" customFormat="1" ht="19.949999999999999" customHeight="1">
      <c r="A76" s="987"/>
      <c r="C76" s="1636"/>
      <c r="D76" s="1638"/>
      <c r="E76" s="546" t="str">
        <f>FHD_NUM_P_38</f>
        <v>4.1</v>
      </c>
      <c r="F76" s="1524" t="str">
        <f>FHD_P_38</f>
        <v xml:space="preserve">Изменение стоимости основных фондов за счет их ввода в эксплуатацию (вывода из эксплуатации)</v>
      </c>
      <c r="G76" s="1878" t="s">
        <v>554</v>
      </c>
      <c r="H76" s="557"/>
      <c r="I76" s="557"/>
      <c r="J76" s="557"/>
      <c r="K76" s="289" t="str">
        <f>FHD_NOTE_P_38</f>
        <v xml:space="preserve">Указываются общее изменение стоимости основных фондов за счет их ввода в эксплуатацию и вывода из эксплуатации.</v>
      </c>
      <c r="L76" s="543"/>
      <c r="M76" s="1636"/>
      <c r="N76" s="1636"/>
      <c r="S76" s="1636"/>
      <c r="V76" s="544"/>
      <c r="AB76" s="1632"/>
      <c r="AC76" s="1632"/>
      <c r="AD76" s="1632"/>
      <c r="AE76" s="1632"/>
      <c r="AF76" s="1632"/>
      <c r="AG76" s="1160">
        <v>19</v>
      </c>
    </row>
    <row r="77" s="1366" customFormat="1" ht="19.949999999999999" customHeight="1">
      <c r="A77" s="987"/>
      <c r="C77" s="1636"/>
      <c r="D77" s="1638"/>
      <c r="E77" s="546" t="str">
        <f>FHD_NUM_P_39</f>
        <v>4.1.1</v>
      </c>
      <c r="F77" s="1650" t="str">
        <f>FHD_P_39</f>
        <v xml:space="preserve">Изменение стоимости основных фондов за счет их ввода в эксплуатацию</v>
      </c>
      <c r="G77" s="2072" t="s">
        <v>554</v>
      </c>
      <c r="H77" s="557"/>
      <c r="I77" s="557"/>
      <c r="J77" s="557"/>
      <c r="K77" s="289" t="str">
        <f>FHD_NOTE_P_39</f>
        <v xml:space="preserve">Указываются изменение стоимости основных фондов за счет их ввода в эксплуатацию.</v>
      </c>
      <c r="L77" s="543"/>
      <c r="M77" s="1636"/>
      <c r="N77" s="1636"/>
      <c r="S77" s="1636"/>
      <c r="V77" s="544"/>
      <c r="AB77" s="1632"/>
      <c r="AC77" s="1632"/>
      <c r="AD77" s="1632"/>
      <c r="AE77" s="1632"/>
      <c r="AF77" s="1632"/>
      <c r="AG77" s="1160">
        <v>19</v>
      </c>
    </row>
    <row r="78" s="1366" customFormat="1" ht="19.949999999999999" customHeight="1">
      <c r="A78" s="987"/>
      <c r="C78" s="1636"/>
      <c r="D78" s="1638"/>
      <c r="E78" s="546" t="str">
        <f>FHD_NUM_P_40</f>
        <v>4.1.2</v>
      </c>
      <c r="F78" s="2076" t="str">
        <f>FHD_P_40</f>
        <v xml:space="preserve">Изменение стоимости основных фондов за счет их вывода в эксплуатацию</v>
      </c>
      <c r="G78" s="2071" t="s">
        <v>554</v>
      </c>
      <c r="H78" s="976"/>
      <c r="I78" s="557"/>
      <c r="J78" s="976"/>
      <c r="K78" s="289" t="str">
        <f>FHD_NOTE_P_40</f>
        <v xml:space="preserve">Указываются изменение стоимости основных фондов за счет их вывода из эксплуатации.</v>
      </c>
      <c r="L78" s="543"/>
      <c r="M78" s="1636"/>
      <c r="N78" s="1636"/>
      <c r="S78" s="1636"/>
      <c r="V78" s="544"/>
      <c r="AB78" s="1632"/>
      <c r="AC78" s="1632"/>
      <c r="AD78" s="1632"/>
      <c r="AE78" s="1632"/>
      <c r="AF78" s="1632"/>
      <c r="AG78" s="1160">
        <v>19</v>
      </c>
    </row>
    <row r="79" s="1366" customFormat="1" ht="19.949999999999999" customHeight="1">
      <c r="A79" s="987"/>
      <c r="C79" s="1636"/>
      <c r="D79" s="1638"/>
      <c r="E79" s="546" t="str">
        <f>FHD_NUM_P_41</f>
        <v>4.2</v>
      </c>
      <c r="F79" s="2075" t="str">
        <f>FHD_P_41</f>
        <v xml:space="preserve">Изменение стоимости основных фондов за счет их переоценки</v>
      </c>
      <c r="G79" s="2071" t="s">
        <v>554</v>
      </c>
      <c r="H79" s="976"/>
      <c r="I79" s="557"/>
      <c r="J79" s="976"/>
      <c r="K79" s="289" t="str">
        <f>FHD_NOTE_P_41</f>
        <v/>
      </c>
      <c r="L79" s="543"/>
      <c r="M79" s="1636"/>
      <c r="N79" s="1636"/>
      <c r="S79" s="1636"/>
      <c r="V79" s="544"/>
      <c r="AB79" s="1632"/>
      <c r="AC79" s="1632"/>
      <c r="AD79" s="1632"/>
      <c r="AE79" s="1632"/>
      <c r="AF79" s="1632"/>
      <c r="AG79" s="1160">
        <v>19</v>
      </c>
    </row>
    <row r="80" s="1366" customFormat="1" ht="19.949999999999999" customHeight="1">
      <c r="A80" s="989" t="s">
        <v>581</v>
      </c>
      <c r="C80" s="1636"/>
      <c r="D80" s="1638"/>
      <c r="E80" s="546" t="str">
        <f>FHD_NUM_P_42</f>
        <v>5</v>
      </c>
      <c r="F80" s="2073" t="str">
        <f>FHD_P_42</f>
        <v xml:space="preserve">Валовая прибыль (убытки) от продажи товаров и услуг по регулируемым видам деятельности в сфере водоотведения</v>
      </c>
      <c r="G80" s="2071" t="s">
        <v>554</v>
      </c>
      <c r="H80" s="976"/>
      <c r="I80" s="557"/>
      <c r="J80" s="976"/>
      <c r="K80" s="289" t="str">
        <f>FHD_NOTE_P_42</f>
        <v/>
      </c>
      <c r="L80" s="543"/>
      <c r="M80" s="1636"/>
      <c r="N80" s="1636"/>
      <c r="S80" s="1636"/>
      <c r="V80" s="544"/>
      <c r="AB80" s="1632"/>
      <c r="AC80" s="1632"/>
      <c r="AD80" s="1632"/>
      <c r="AE80" s="1632"/>
      <c r="AF80" s="1632"/>
      <c r="AG80" s="1160">
        <v>19</v>
      </c>
    </row>
    <row r="81" s="1366" customFormat="1" ht="19.949999999999999" customHeight="1">
      <c r="A81" s="987"/>
      <c r="C81" s="1636"/>
      <c r="D81" s="1638"/>
      <c r="E81" s="546" t="str">
        <f>FHD_NUM_P_43</f>
        <v>6</v>
      </c>
      <c r="F81" s="1880" t="str">
        <f>FHD_P_43</f>
        <v xml:space="preserve">Годовая бухгалтерская (финансовая) отчетность, включая бухгалтерский баланс и приложения к нему</v>
      </c>
      <c r="G81" s="2074" t="s">
        <v>308</v>
      </c>
      <c r="H81" s="1055"/>
      <c r="I81" s="818"/>
      <c r="J81" s="1055"/>
      <c r="K81" s="289" t="str">
        <f>FHD_NOTE_P_43</f>
        <v xml:space="preserve">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81" s="543"/>
      <c r="M81" s="1636"/>
      <c r="N81" s="1636"/>
      <c r="S81" s="1636"/>
      <c r="V81" s="544"/>
      <c r="AB81" s="1632"/>
      <c r="AC81" s="1632"/>
      <c r="AD81" s="1632"/>
      <c r="AE81" s="1632"/>
      <c r="AF81" s="1632"/>
      <c r="AG81" s="1160">
        <v>19</v>
      </c>
    </row>
    <row r="82" s="1366" customFormat="1" ht="18.75" hidden="1" customHeight="1">
      <c r="A82" s="2371" t="s">
        <v>582</v>
      </c>
      <c r="C82" s="735"/>
      <c r="D82" s="733"/>
      <c r="E82" s="546" t="str">
        <f>FHD_NUM_P_44</f>
        <v/>
      </c>
      <c r="F82" s="1880" t="str">
        <f>FHD_P_44</f>
        <v/>
      </c>
      <c r="G82" s="1881" t="s">
        <v>583</v>
      </c>
      <c r="H82" s="977"/>
      <c r="I82" s="577"/>
      <c r="J82" s="977"/>
      <c r="K82" s="289" t="str">
        <f>FHD_NOTE_P_44</f>
        <v/>
      </c>
      <c r="L82" s="734"/>
      <c r="M82" s="735"/>
      <c r="N82" s="735"/>
      <c r="S82" s="735"/>
      <c r="V82" s="736"/>
      <c r="AB82" s="737"/>
      <c r="AC82" s="737"/>
      <c r="AD82" s="737"/>
      <c r="AE82" s="737"/>
      <c r="AF82" s="737"/>
      <c r="AG82" s="910">
        <v>0</v>
      </c>
    </row>
    <row r="83" s="1366" customFormat="1" ht="18.75" hidden="1" customHeight="1">
      <c r="A83" s="2371"/>
      <c r="C83" s="735"/>
      <c r="D83" s="733"/>
      <c r="E83" s="546" t="str">
        <f>FHD_NUM_P_45</f>
        <v/>
      </c>
      <c r="F83" s="1880" t="str">
        <f>FHD_P_45</f>
        <v/>
      </c>
      <c r="G83" s="1881" t="s">
        <v>583</v>
      </c>
      <c r="H83" s="977"/>
      <c r="I83" s="577"/>
      <c r="J83" s="977"/>
      <c r="K83" s="289" t="str">
        <f>FHD_NOTE_P_45</f>
        <v/>
      </c>
      <c r="L83" s="734"/>
      <c r="M83" s="735"/>
      <c r="N83" s="735"/>
      <c r="S83" s="735"/>
      <c r="V83" s="736"/>
      <c r="AB83" s="737"/>
      <c r="AC83" s="737"/>
      <c r="AD83" s="737"/>
      <c r="AE83" s="737"/>
      <c r="AF83" s="737"/>
      <c r="AG83" s="910">
        <v>0</v>
      </c>
    </row>
    <row r="84" s="1366" customFormat="1" ht="18.75" hidden="1" customHeight="1">
      <c r="A84" s="2371"/>
      <c r="C84" s="735"/>
      <c r="D84" s="738"/>
      <c r="E84" s="546" t="str">
        <f>FHD_NUM_P_46</f>
        <v/>
      </c>
      <c r="F84" s="1880" t="str">
        <f>FHD_P_46</f>
        <v/>
      </c>
      <c r="G84" s="1881" t="s">
        <v>583</v>
      </c>
      <c r="H84" s="977"/>
      <c r="I84" s="577"/>
      <c r="J84" s="977"/>
      <c r="K84" s="289" t="str">
        <f>FHD_NOTE_P_46</f>
        <v/>
      </c>
      <c r="L84" s="734"/>
      <c r="M84" s="735"/>
      <c r="N84" s="735"/>
      <c r="S84" s="735"/>
      <c r="V84" s="736"/>
      <c r="AB84" s="737"/>
      <c r="AC84" s="737"/>
      <c r="AD84" s="737"/>
      <c r="AE84" s="737"/>
      <c r="AF84" s="737"/>
      <c r="AG84" s="910">
        <v>0</v>
      </c>
    </row>
    <row r="85" s="1366" customFormat="1" ht="18.75" hidden="1" customHeight="1">
      <c r="A85" s="2371"/>
      <c r="C85" s="735"/>
      <c r="D85" s="733"/>
      <c r="E85" s="546" t="str">
        <f>FHD_NUM_P_47</f>
        <v/>
      </c>
      <c r="F85" s="1880" t="str">
        <f>FHD_P_47</f>
        <v/>
      </c>
      <c r="G85" s="1881" t="s">
        <v>583</v>
      </c>
      <c r="H85" s="977"/>
      <c r="I85" s="577"/>
      <c r="J85" s="977"/>
      <c r="K85" s="289" t="str">
        <f>FHD_NOTE_P_47</f>
        <v/>
      </c>
      <c r="L85" s="734"/>
      <c r="M85" s="735"/>
      <c r="N85" s="735"/>
      <c r="S85" s="735"/>
      <c r="V85" s="736"/>
      <c r="AB85" s="737"/>
      <c r="AC85" s="737"/>
      <c r="AD85" s="737"/>
      <c r="AE85" s="737"/>
      <c r="AF85" s="737"/>
      <c r="AG85" s="910">
        <v>0</v>
      </c>
    </row>
    <row r="86" s="1635" customFormat="1" ht="18.75" hidden="1" customHeight="1">
      <c r="A86" s="2371"/>
      <c r="B86" s="910"/>
      <c r="C86" s="735"/>
      <c r="D86" s="733"/>
      <c r="E86" s="546" t="str">
        <f>FHD_NUM_P_48</f>
        <v/>
      </c>
      <c r="F86" s="1880" t="str">
        <f>FHD_P_48</f>
        <v/>
      </c>
      <c r="G86" s="1881" t="s">
        <v>583</v>
      </c>
      <c r="H86" s="977"/>
      <c r="I86" s="577"/>
      <c r="J86" s="977"/>
      <c r="K86" s="289" t="str">
        <f>FHD_NOTE_P_48</f>
        <v/>
      </c>
      <c r="L86" s="734"/>
      <c r="M86" s="735"/>
      <c r="N86" s="735"/>
      <c r="O86" s="910"/>
      <c r="P86" s="910"/>
      <c r="Q86" s="910"/>
      <c r="R86" s="910"/>
      <c r="S86" s="735"/>
      <c r="T86" s="910"/>
      <c r="U86" s="910"/>
      <c r="V86" s="736"/>
      <c r="W86" s="910"/>
      <c r="X86" s="910"/>
      <c r="Y86" s="910"/>
      <c r="Z86" s="910"/>
      <c r="AA86" s="910"/>
      <c r="AB86" s="737"/>
      <c r="AC86" s="737"/>
      <c r="AD86" s="737"/>
      <c r="AE86" s="737"/>
      <c r="AF86" s="737"/>
      <c r="AG86" s="739">
        <v>0</v>
      </c>
    </row>
    <row r="87" s="1635" customFormat="1" ht="18.75" hidden="1" customHeight="1">
      <c r="A87" s="2371"/>
      <c r="B87" s="910"/>
      <c r="C87" s="735"/>
      <c r="D87" s="733"/>
      <c r="E87" s="546" t="str">
        <f>FHD_NUM_P_49</f>
        <v/>
      </c>
      <c r="F87" s="1880" t="str">
        <f>FHD_P_49</f>
        <v/>
      </c>
      <c r="G87" s="1881" t="s">
        <v>583</v>
      </c>
      <c r="H87" s="978">
        <f>SUM(H88:H89)</f>
        <v>0</v>
      </c>
      <c r="I87" s="749">
        <f>SUM(I88:I89)</f>
        <v>0</v>
      </c>
      <c r="J87" s="978">
        <f>SUM(J88:J89)</f>
        <v>0</v>
      </c>
      <c r="K87" s="289" t="str">
        <f>FHD_NOTE_P_49</f>
        <v/>
      </c>
      <c r="L87" s="734"/>
      <c r="M87" s="735"/>
      <c r="N87" s="735"/>
      <c r="O87" s="910"/>
      <c r="P87" s="910"/>
      <c r="Q87" s="910"/>
      <c r="R87" s="910"/>
      <c r="S87" s="735"/>
      <c r="T87" s="910"/>
      <c r="U87" s="910"/>
      <c r="V87" s="736"/>
      <c r="W87" s="910"/>
      <c r="X87" s="910"/>
      <c r="Y87" s="910"/>
      <c r="Z87" s="910"/>
      <c r="AA87" s="910"/>
      <c r="AB87" s="737"/>
      <c r="AC87" s="737"/>
      <c r="AD87" s="737"/>
      <c r="AE87" s="737"/>
      <c r="AF87" s="737"/>
      <c r="AG87" s="739">
        <v>0</v>
      </c>
    </row>
    <row r="88" s="1635" customFormat="1" ht="18.75" hidden="1" customHeight="1">
      <c r="A88" s="2371"/>
      <c r="B88" s="910"/>
      <c r="C88" s="735"/>
      <c r="D88" s="733"/>
      <c r="E88" s="546" t="str">
        <f>FHD_NUM_P_50</f>
        <v/>
      </c>
      <c r="F88" s="1880" t="str">
        <f>FHD_P_50</f>
        <v/>
      </c>
      <c r="G88" s="1881" t="s">
        <v>583</v>
      </c>
      <c r="H88" s="977"/>
      <c r="I88" s="577"/>
      <c r="J88" s="977"/>
      <c r="K88" s="289" t="str">
        <f>FHD_NOTE_P_50</f>
        <v/>
      </c>
      <c r="L88" s="734"/>
      <c r="M88" s="735"/>
      <c r="N88" s="735"/>
      <c r="O88" s="910"/>
      <c r="P88" s="910"/>
      <c r="Q88" s="910"/>
      <c r="R88" s="910"/>
      <c r="S88" s="735"/>
      <c r="T88" s="910"/>
      <c r="U88" s="910"/>
      <c r="V88" s="736"/>
      <c r="W88" s="910"/>
      <c r="X88" s="910"/>
      <c r="Y88" s="910"/>
      <c r="Z88" s="910"/>
      <c r="AA88" s="910"/>
      <c r="AB88" s="737"/>
      <c r="AC88" s="737"/>
      <c r="AD88" s="737"/>
      <c r="AE88" s="737"/>
      <c r="AF88" s="737"/>
      <c r="AG88" s="739">
        <v>0</v>
      </c>
    </row>
    <row r="89" s="1635" customFormat="1" ht="18.75" hidden="1" customHeight="1">
      <c r="A89" s="2371"/>
      <c r="B89" s="910"/>
      <c r="C89" s="735"/>
      <c r="D89" s="733"/>
      <c r="E89" s="546" t="str">
        <f>FHD_NUM_P_51</f>
        <v/>
      </c>
      <c r="F89" s="1880" t="str">
        <f>FHD_P_51</f>
        <v/>
      </c>
      <c r="G89" s="1881" t="s">
        <v>583</v>
      </c>
      <c r="H89" s="977"/>
      <c r="I89" s="577"/>
      <c r="J89" s="977"/>
      <c r="K89" s="289" t="str">
        <f>FHD_NOTE_P_51</f>
        <v/>
      </c>
      <c r="L89" s="734"/>
      <c r="M89" s="735"/>
      <c r="N89" s="735"/>
      <c r="O89" s="910"/>
      <c r="P89" s="910"/>
      <c r="Q89" s="910"/>
      <c r="R89" s="910"/>
      <c r="S89" s="735"/>
      <c r="T89" s="910"/>
      <c r="U89" s="910"/>
      <c r="V89" s="736"/>
      <c r="W89" s="910"/>
      <c r="X89" s="910"/>
      <c r="Y89" s="910"/>
      <c r="Z89" s="910"/>
      <c r="AA89" s="910"/>
      <c r="AB89" s="737"/>
      <c r="AC89" s="737"/>
      <c r="AD89" s="737"/>
      <c r="AE89" s="737"/>
      <c r="AF89" s="737"/>
      <c r="AG89" s="739">
        <v>0</v>
      </c>
    </row>
    <row r="90" s="1635" customFormat="1" ht="18.75" hidden="1" customHeight="1">
      <c r="A90" s="2371"/>
      <c r="B90" s="910"/>
      <c r="C90" s="735"/>
      <c r="D90" s="733"/>
      <c r="E90" s="546" t="str">
        <f>FHD_NUM_P_52</f>
        <v/>
      </c>
      <c r="F90" s="1880" t="str">
        <f>FHD_P_52</f>
        <v/>
      </c>
      <c r="G90" s="1881" t="s">
        <v>560</v>
      </c>
      <c r="H90" s="976"/>
      <c r="I90" s="557"/>
      <c r="J90" s="976"/>
      <c r="K90" s="289" t="str">
        <f>FHD_NOTE_P_52</f>
        <v/>
      </c>
      <c r="L90" s="734"/>
      <c r="M90" s="735"/>
      <c r="N90" s="735"/>
      <c r="O90" s="910"/>
      <c r="P90" s="910"/>
      <c r="Q90" s="910"/>
      <c r="R90" s="910"/>
      <c r="S90" s="735"/>
      <c r="T90" s="910"/>
      <c r="U90" s="910"/>
      <c r="V90" s="736"/>
      <c r="W90" s="910"/>
      <c r="X90" s="910"/>
      <c r="Y90" s="910"/>
      <c r="Z90" s="910"/>
      <c r="AA90" s="910"/>
      <c r="AB90" s="737"/>
      <c r="AC90" s="737"/>
      <c r="AD90" s="737"/>
      <c r="AE90" s="737"/>
      <c r="AF90" s="737"/>
      <c r="AG90" s="739">
        <v>0</v>
      </c>
    </row>
    <row r="91" s="1366" customFormat="1" ht="18.75" hidden="1" customHeight="1">
      <c r="A91" s="2373" t="s">
        <v>584</v>
      </c>
      <c r="C91" s="735"/>
      <c r="D91" s="733"/>
      <c r="E91" s="546" t="str">
        <f>FHD_NUM_P_53</f>
        <v/>
      </c>
      <c r="F91" s="1880" t="str">
        <f>FHD_P_53</f>
        <v/>
      </c>
      <c r="G91" s="1881" t="s">
        <v>583</v>
      </c>
      <c r="H91" s="977"/>
      <c r="I91" s="577"/>
      <c r="J91" s="977"/>
      <c r="K91" s="289" t="str">
        <f>FHD_NOTE_P_53</f>
        <v/>
      </c>
      <c r="L91" s="734"/>
      <c r="M91" s="735"/>
      <c r="N91" s="735"/>
      <c r="S91" s="735"/>
      <c r="V91" s="736"/>
      <c r="AB91" s="737"/>
      <c r="AC91" s="737"/>
      <c r="AD91" s="737"/>
      <c r="AE91" s="737"/>
      <c r="AF91" s="737"/>
      <c r="AG91" s="910">
        <v>0</v>
      </c>
    </row>
    <row r="92" s="1366" customFormat="1" ht="18.75" hidden="1" customHeight="1">
      <c r="A92" s="2373"/>
      <c r="C92" s="735"/>
      <c r="D92" s="733"/>
      <c r="E92" s="546" t="str">
        <f>FHD_NUM_P_54</f>
        <v/>
      </c>
      <c r="F92" s="1880" t="str">
        <f>FHD_P_54</f>
        <v/>
      </c>
      <c r="G92" s="1881" t="s">
        <v>583</v>
      </c>
      <c r="H92" s="977"/>
      <c r="I92" s="577"/>
      <c r="J92" s="977"/>
      <c r="K92" s="289" t="str">
        <f>FHD_NOTE_P_54</f>
        <v/>
      </c>
      <c r="L92" s="734"/>
      <c r="M92" s="735"/>
      <c r="N92" s="735"/>
      <c r="S92" s="735"/>
      <c r="V92" s="736"/>
      <c r="AB92" s="737"/>
      <c r="AC92" s="737"/>
      <c r="AD92" s="737"/>
      <c r="AE92" s="737"/>
      <c r="AF92" s="737"/>
      <c r="AG92" s="910">
        <v>0</v>
      </c>
    </row>
    <row r="93" s="1366" customFormat="1" ht="18.75" hidden="1" customHeight="1">
      <c r="A93" s="2373"/>
      <c r="C93" s="735"/>
      <c r="D93" s="738"/>
      <c r="E93" s="546" t="str">
        <f>FHD_NUM_P_55</f>
        <v/>
      </c>
      <c r="F93" s="1880" t="str">
        <f>FHD_P_55</f>
        <v/>
      </c>
      <c r="G93" s="1884"/>
      <c r="H93" s="977"/>
      <c r="I93" s="577"/>
      <c r="J93" s="977"/>
      <c r="K93" s="289" t="str">
        <f>FHD_NOTE_P_55</f>
        <v/>
      </c>
      <c r="L93" s="734"/>
      <c r="M93" s="735"/>
      <c r="N93" s="735"/>
      <c r="S93" s="735"/>
      <c r="V93" s="736"/>
      <c r="AB93" s="737"/>
      <c r="AC93" s="737"/>
      <c r="AD93" s="737"/>
      <c r="AE93" s="737"/>
      <c r="AF93" s="737"/>
      <c r="AG93" s="910">
        <v>0</v>
      </c>
    </row>
    <row r="94" s="1366" customFormat="1" ht="18.75" hidden="1" customHeight="1">
      <c r="A94" s="2373"/>
      <c r="C94" s="735"/>
      <c r="D94" s="733"/>
      <c r="E94" s="546" t="str">
        <f>FHD_NUM_P_56</f>
        <v/>
      </c>
      <c r="F94" s="1880" t="str">
        <f>FHD_P_56</f>
        <v/>
      </c>
      <c r="G94" s="1881" t="s">
        <v>585</v>
      </c>
      <c r="H94" s="977"/>
      <c r="I94" s="577"/>
      <c r="J94" s="977"/>
      <c r="K94" s="289" t="str">
        <f>FHD_NOTE_P_56</f>
        <v/>
      </c>
      <c r="L94" s="734"/>
      <c r="M94" s="735"/>
      <c r="N94" s="735"/>
      <c r="S94" s="735"/>
      <c r="V94" s="736"/>
      <c r="AB94" s="737"/>
      <c r="AC94" s="737"/>
      <c r="AD94" s="737"/>
      <c r="AE94" s="737"/>
      <c r="AF94" s="737"/>
      <c r="AG94" s="910">
        <v>0</v>
      </c>
    </row>
    <row r="95" s="1635" customFormat="1" ht="18.75" hidden="1" customHeight="1">
      <c r="A95" s="2373"/>
      <c r="B95" s="910"/>
      <c r="C95" s="735"/>
      <c r="D95" s="733"/>
      <c r="E95" s="546" t="str">
        <f>FHD_NUM_P_57</f>
        <v/>
      </c>
      <c r="F95" s="1880" t="str">
        <f>FHD_P_57</f>
        <v/>
      </c>
      <c r="G95" s="1881" t="s">
        <v>560</v>
      </c>
      <c r="H95" s="976"/>
      <c r="I95" s="557"/>
      <c r="J95" s="976"/>
      <c r="K95" s="289" t="str">
        <f>FHD_NOTE_P_57</f>
        <v/>
      </c>
      <c r="L95" s="734"/>
      <c r="M95" s="735"/>
      <c r="N95" s="735"/>
      <c r="O95" s="910"/>
      <c r="P95" s="910"/>
      <c r="Q95" s="910"/>
      <c r="R95" s="910"/>
      <c r="S95" s="735"/>
      <c r="T95" s="910"/>
      <c r="U95" s="910"/>
      <c r="V95" s="736"/>
      <c r="W95" s="910"/>
      <c r="X95" s="910"/>
      <c r="Y95" s="910"/>
      <c r="Z95" s="910"/>
      <c r="AA95" s="910"/>
      <c r="AB95" s="737"/>
      <c r="AC95" s="737"/>
      <c r="AD95" s="737"/>
      <c r="AE95" s="737"/>
      <c r="AF95" s="737"/>
      <c r="AG95" s="739">
        <v>0</v>
      </c>
    </row>
    <row r="96" ht="18.75" customHeight="1">
      <c r="A96" s="2371" t="s">
        <v>586</v>
      </c>
      <c r="D96" s="1638"/>
      <c r="E96" s="546" t="str">
        <f>FHD_NUM_P_58</f>
        <v>7</v>
      </c>
      <c r="F96" s="1880" t="str">
        <f>FHD_P_58</f>
        <v xml:space="preserve">Объём сточных вод, принятых от потребителей</v>
      </c>
      <c r="G96" s="1881" t="s">
        <v>583</v>
      </c>
      <c r="H96" s="977"/>
      <c r="I96" s="577"/>
      <c r="J96" s="977"/>
      <c r="K96" s="289" t="str">
        <f>FHD_NOTE_P_58</f>
        <v/>
      </c>
      <c r="L96" s="543"/>
      <c r="AG96" s="1631">
        <v>0</v>
      </c>
    </row>
    <row r="97" ht="18.75" customHeight="1">
      <c r="A97" s="2371"/>
      <c r="D97" s="1638"/>
      <c r="E97" s="546" t="str">
        <f>FHD_NUM_P_59</f>
        <v>8</v>
      </c>
      <c r="F97" s="1880" t="str">
        <f>FHD_P_59</f>
        <v xml:space="preserve">Объём сточных вод, принятых от других регулируемых организаций, осуществляющих водоотведение и (или) очистку сточных вод</v>
      </c>
      <c r="G97" s="1881" t="s">
        <v>583</v>
      </c>
      <c r="H97" s="977"/>
      <c r="I97" s="577"/>
      <c r="J97" s="977"/>
      <c r="K97" s="289" t="str">
        <f>FHD_NOTE_P_59</f>
        <v/>
      </c>
      <c r="L97" s="543"/>
      <c r="AG97" s="1631">
        <v>0</v>
      </c>
    </row>
    <row r="98" ht="18.75" customHeight="1">
      <c r="A98" s="2371"/>
      <c r="D98" s="1638"/>
      <c r="E98" s="546" t="str">
        <f>FHD_NUM_P_60</f>
        <v>9</v>
      </c>
      <c r="F98" s="1880" t="str">
        <f>FHD_P_60</f>
        <v xml:space="preserve">Объём сточных вод, пропущенных через очистные сооружения</v>
      </c>
      <c r="G98" s="1881" t="s">
        <v>583</v>
      </c>
      <c r="H98" s="977"/>
      <c r="I98" s="577"/>
      <c r="J98" s="977"/>
      <c r="K98" s="289" t="str">
        <f>FHD_NOTE_P_60</f>
        <v/>
      </c>
      <c r="L98" s="543"/>
      <c r="AG98" s="1631">
        <v>0</v>
      </c>
    </row>
    <row r="99" s="1366" customFormat="1" ht="18.75" hidden="1" customHeight="1">
      <c r="A99" s="2371" t="s">
        <v>587</v>
      </c>
      <c r="C99" s="1636"/>
      <c r="D99" s="1638"/>
      <c r="E99" s="546" t="str">
        <f>FHD_NUM_P_61</f>
        <v/>
      </c>
      <c r="F99" s="1880" t="str">
        <f>FHD_P_61</f>
        <v/>
      </c>
      <c r="G99" s="1878" t="s">
        <v>558</v>
      </c>
      <c r="H99" s="979"/>
      <c r="I99" s="742"/>
      <c r="J99" s="979"/>
      <c r="K99" s="289" t="str">
        <f>FHD_NOTE_P_61</f>
        <v/>
      </c>
      <c r="L99" s="543"/>
      <c r="M99" s="1636"/>
      <c r="N99" s="1636"/>
      <c r="S99" s="1636"/>
      <c r="V99" s="544"/>
      <c r="AB99" s="1632"/>
      <c r="AC99" s="1632"/>
      <c r="AD99" s="1632"/>
      <c r="AE99" s="1632"/>
      <c r="AF99" s="1632"/>
      <c r="AG99" s="1160">
        <v>0</v>
      </c>
    </row>
    <row r="100" s="1642" customFormat="1" ht="0.75" hidden="1" customHeight="1">
      <c r="A100" s="2371"/>
      <c r="D100" s="548"/>
      <c r="E100" s="1013" t="str">
        <f>E99&amp;".0"</f>
        <v>.0</v>
      </c>
      <c r="F100" s="994"/>
      <c r="G100" s="995"/>
      <c r="H100" s="992"/>
      <c r="I100" s="992"/>
      <c r="J100" s="992"/>
      <c r="K100" s="996"/>
      <c r="AG100" s="1636">
        <v>0</v>
      </c>
    </row>
    <row r="101" ht="15" hidden="1" customHeight="1">
      <c r="A101" s="2371"/>
      <c r="D101" s="1633"/>
      <c r="E101" s="971"/>
      <c r="F101" s="972" t="s">
        <v>588</v>
      </c>
      <c r="G101" s="572"/>
      <c r="H101" s="573"/>
      <c r="I101" s="573"/>
      <c r="J101" s="2632"/>
      <c r="K101" s="1004" t="s">
        <v>589</v>
      </c>
      <c r="L101" s="543"/>
      <c r="AG101" s="1631">
        <v>0</v>
      </c>
    </row>
    <row r="102" s="1366" customFormat="1" ht="18.75" hidden="1" customHeight="1">
      <c r="A102" s="2371"/>
      <c r="C102" s="1636"/>
      <c r="D102" s="1638"/>
      <c r="E102" s="546" t="str">
        <f>FHD_NUM_P_62</f>
        <v/>
      </c>
      <c r="F102" s="1880" t="str">
        <f>FHD_P_62</f>
        <v/>
      </c>
      <c r="G102" s="1877" t="s">
        <v>558</v>
      </c>
      <c r="H102" s="557"/>
      <c r="I102" s="557"/>
      <c r="J102" s="557"/>
      <c r="K102" s="289" t="str">
        <f>FHD_NOTE_P_62</f>
        <v/>
      </c>
      <c r="L102" s="543"/>
      <c r="M102" s="1636"/>
      <c r="N102" s="1636"/>
      <c r="S102" s="1636"/>
      <c r="V102" s="544"/>
      <c r="AB102" s="1632"/>
      <c r="AC102" s="1632"/>
      <c r="AD102" s="1632"/>
      <c r="AE102" s="1632"/>
      <c r="AF102" s="1632"/>
      <c r="AG102" s="1160">
        <v>0</v>
      </c>
    </row>
    <row r="103" s="1366" customFormat="1" ht="18.75" hidden="1" customHeight="1">
      <c r="A103" s="2371"/>
      <c r="C103" s="1636"/>
      <c r="D103" s="1638"/>
      <c r="E103" s="546" t="str">
        <f>FHD_NUM_P_63</f>
        <v/>
      </c>
      <c r="F103" s="1880" t="str">
        <f>FHD_P_63</f>
        <v/>
      </c>
      <c r="G103" s="1877" t="s">
        <v>585</v>
      </c>
      <c r="H103" s="577"/>
      <c r="I103" s="577"/>
      <c r="J103" s="577"/>
      <c r="K103" s="289" t="str">
        <f>FHD_NOTE_P_63</f>
        <v/>
      </c>
      <c r="L103" s="543"/>
      <c r="M103" s="1636"/>
      <c r="N103" s="1636"/>
      <c r="S103" s="1636"/>
      <c r="V103" s="544"/>
      <c r="AB103" s="1632"/>
      <c r="AC103" s="1632"/>
      <c r="AD103" s="1632"/>
      <c r="AE103" s="1632"/>
      <c r="AF103" s="1632"/>
      <c r="AG103" s="1160">
        <v>0</v>
      </c>
    </row>
    <row r="104" s="1366" customFormat="1" ht="18.75" hidden="1" customHeight="1">
      <c r="A104" s="2371"/>
      <c r="C104" s="1636" t="s">
        <v>590</v>
      </c>
      <c r="D104" s="1638"/>
      <c r="E104" s="546" t="str">
        <f>FHD_NUM_P_64</f>
        <v/>
      </c>
      <c r="F104" s="1880" t="str">
        <f>FHD_P_64</f>
        <v/>
      </c>
      <c r="G104" s="1877" t="s">
        <v>585</v>
      </c>
      <c r="H104" s="545"/>
      <c r="I104" s="545"/>
      <c r="J104" s="545"/>
      <c r="K104" s="289" t="str">
        <f>FHD_NOTE_P_64</f>
        <v/>
      </c>
      <c r="L104" s="543"/>
      <c r="M104" s="1636"/>
      <c r="N104" s="1636"/>
      <c r="S104" s="1636"/>
      <c r="V104" s="544"/>
      <c r="AB104" s="1632"/>
      <c r="AC104" s="1632"/>
      <c r="AD104" s="1632"/>
      <c r="AE104" s="1632"/>
      <c r="AF104" s="1632"/>
      <c r="AG104" s="1160">
        <v>0</v>
      </c>
    </row>
    <row r="105" s="1366" customFormat="1" ht="18.75" hidden="1" customHeight="1">
      <c r="A105" s="2371"/>
      <c r="C105" s="1636"/>
      <c r="D105" s="1638"/>
      <c r="E105" s="546" t="str">
        <f>FHD_NUM_P_65</f>
        <v/>
      </c>
      <c r="F105" s="1880" t="str">
        <f>FHD_P_65</f>
        <v/>
      </c>
      <c r="G105" s="1877" t="s">
        <v>585</v>
      </c>
      <c r="H105" s="577"/>
      <c r="I105" s="577"/>
      <c r="J105" s="577"/>
      <c r="K105" s="289" t="str">
        <f>FHD_NOTE_P_65</f>
        <v/>
      </c>
      <c r="L105" s="543"/>
      <c r="M105" s="1636"/>
      <c r="N105" s="1636"/>
      <c r="S105" s="1636"/>
      <c r="V105" s="544"/>
      <c r="AB105" s="1632"/>
      <c r="AC105" s="1632"/>
      <c r="AD105" s="1632"/>
      <c r="AE105" s="1632"/>
      <c r="AF105" s="1632"/>
      <c r="AG105" s="1160">
        <v>0</v>
      </c>
    </row>
    <row r="106" s="1366" customFormat="1" ht="18.75" hidden="1" customHeight="1">
      <c r="A106" s="2371"/>
      <c r="C106" s="1636"/>
      <c r="D106" s="1638"/>
      <c r="E106" s="546" t="str">
        <f>FHD_NUM_P_66</f>
        <v/>
      </c>
      <c r="F106" s="1524" t="str">
        <f>FHD_P_66</f>
        <v/>
      </c>
      <c r="G106" s="1877" t="s">
        <v>585</v>
      </c>
      <c r="H106" s="577"/>
      <c r="I106" s="577"/>
      <c r="J106" s="577"/>
      <c r="K106" s="289" t="str">
        <f>FHD_NOTE_P_66</f>
        <v/>
      </c>
      <c r="L106" s="543"/>
      <c r="M106" s="1636"/>
      <c r="N106" s="1636"/>
      <c r="S106" s="1636"/>
      <c r="V106" s="544"/>
      <c r="AB106" s="1632"/>
      <c r="AC106" s="1632"/>
      <c r="AD106" s="1632"/>
      <c r="AE106" s="1632"/>
      <c r="AF106" s="1632"/>
      <c r="AG106" s="1160">
        <v>0</v>
      </c>
    </row>
    <row r="107" s="1366" customFormat="1" ht="18.75" hidden="1" customHeight="1">
      <c r="A107" s="2371"/>
      <c r="C107" s="1636"/>
      <c r="D107" s="1638"/>
      <c r="E107" s="546" t="str">
        <f>FHD_NUM_P_67</f>
        <v/>
      </c>
      <c r="F107" s="1650" t="str">
        <f>FHD_P_67</f>
        <v/>
      </c>
      <c r="G107" s="1877" t="s">
        <v>585</v>
      </c>
      <c r="H107" s="577"/>
      <c r="I107" s="577"/>
      <c r="J107" s="577"/>
      <c r="K107" s="289" t="str">
        <f>FHD_NOTE_P_67</f>
        <v/>
      </c>
      <c r="L107" s="543"/>
      <c r="M107" s="1636"/>
      <c r="N107" s="1636"/>
      <c r="S107" s="1636"/>
      <c r="V107" s="544"/>
      <c r="AB107" s="1632"/>
      <c r="AC107" s="1632"/>
      <c r="AD107" s="1632"/>
      <c r="AE107" s="1632"/>
      <c r="AF107" s="1632"/>
      <c r="AG107" s="1160">
        <v>0</v>
      </c>
    </row>
    <row r="108" s="1366" customFormat="1" ht="18.75" hidden="1" customHeight="1">
      <c r="A108" s="2371"/>
      <c r="C108" s="1636"/>
      <c r="D108" s="1638"/>
      <c r="E108" s="546" t="str">
        <f>FHD_NUM_P_68</f>
        <v/>
      </c>
      <c r="F108" s="1524" t="str">
        <f>FHD_P_68</f>
        <v/>
      </c>
      <c r="G108" s="1877" t="s">
        <v>585</v>
      </c>
      <c r="H108" s="577"/>
      <c r="I108" s="577"/>
      <c r="J108" s="577"/>
      <c r="K108" s="289" t="str">
        <f>FHD_NOTE_P_68</f>
        <v/>
      </c>
      <c r="L108" s="543"/>
      <c r="M108" s="1636"/>
      <c r="N108" s="1636"/>
      <c r="S108" s="1636"/>
      <c r="V108" s="544"/>
      <c r="AB108" s="1632"/>
      <c r="AC108" s="1632"/>
      <c r="AD108" s="1632"/>
      <c r="AE108" s="1632"/>
      <c r="AF108" s="1632"/>
      <c r="AG108" s="1160">
        <v>0</v>
      </c>
    </row>
    <row r="109" s="1366" customFormat="1" ht="18.75" hidden="1" customHeight="1">
      <c r="A109" s="2371"/>
      <c r="C109" s="1636"/>
      <c r="D109" s="1638"/>
      <c r="E109" s="546" t="str">
        <f>FHD_NUM_P_69</f>
        <v/>
      </c>
      <c r="F109" s="1524" t="str">
        <f>FHD_P_69</f>
        <v/>
      </c>
      <c r="G109" s="1877" t="s">
        <v>585</v>
      </c>
      <c r="H109" s="577"/>
      <c r="I109" s="577"/>
      <c r="J109" s="577"/>
      <c r="K109" s="289" t="str">
        <f>FHD_NOTE_P_69</f>
        <v/>
      </c>
      <c r="L109" s="543"/>
      <c r="M109" s="1636"/>
      <c r="N109" s="1636"/>
      <c r="S109" s="1636"/>
      <c r="V109" s="544"/>
      <c r="AB109" s="1632"/>
      <c r="AC109" s="1632"/>
      <c r="AD109" s="1632"/>
      <c r="AE109" s="1632"/>
      <c r="AF109" s="1632"/>
      <c r="AG109" s="1160">
        <v>0</v>
      </c>
    </row>
    <row r="110" s="1366" customFormat="1" ht="22.5" hidden="1" customHeight="1">
      <c r="A110" s="2371"/>
      <c r="C110" s="1636"/>
      <c r="D110" s="1638"/>
      <c r="E110" s="546" t="str">
        <f>FHD_NUM_P_70</f>
        <v/>
      </c>
      <c r="F110" s="1880" t="str">
        <f>FHD_P_70</f>
        <v/>
      </c>
      <c r="G110" s="1877" t="s">
        <v>591</v>
      </c>
      <c r="H110" s="557"/>
      <c r="I110" s="557"/>
      <c r="J110" s="557"/>
      <c r="K110" s="289" t="str">
        <f>FHD_NOTE_P_70</f>
        <v/>
      </c>
      <c r="L110" s="543"/>
      <c r="M110" s="1636"/>
      <c r="N110" s="1636"/>
      <c r="S110" s="1636"/>
      <c r="V110" s="544"/>
      <c r="AB110" s="1632"/>
      <c r="AC110" s="1632"/>
      <c r="AD110" s="1632"/>
      <c r="AE110" s="1632"/>
      <c r="AF110" s="1632"/>
      <c r="AG110" s="1160">
        <v>0</v>
      </c>
    </row>
    <row r="111" s="1366" customFormat="1" ht="22.5" hidden="1" customHeight="1">
      <c r="A111" s="2371"/>
      <c r="C111" s="1636"/>
      <c r="D111" s="1638"/>
      <c r="E111" s="546" t="str">
        <f>FHD_NUM_P_71</f>
        <v/>
      </c>
      <c r="F111" s="1880" t="str">
        <f>FHD_P_71</f>
        <v/>
      </c>
      <c r="G111" s="1877" t="s">
        <v>591</v>
      </c>
      <c r="H111" s="557"/>
      <c r="I111" s="557"/>
      <c r="J111" s="557"/>
      <c r="K111" s="289" t="str">
        <f>FHD_NOTE_P_71</f>
        <v/>
      </c>
      <c r="L111" s="543"/>
      <c r="M111" s="1636"/>
      <c r="N111" s="1636"/>
      <c r="S111" s="1636"/>
      <c r="V111" s="544"/>
      <c r="AB111" s="1632"/>
      <c r="AC111" s="1632"/>
      <c r="AD111" s="1632"/>
      <c r="AE111" s="1632"/>
      <c r="AF111" s="1632"/>
      <c r="AG111" s="1160">
        <v>0</v>
      </c>
    </row>
    <row r="112" ht="19.949999999999999" customHeight="1">
      <c r="D112" s="1638"/>
      <c r="E112" s="546" t="str">
        <f>FHD_NUM_P_72</f>
        <v>10</v>
      </c>
      <c r="F112" s="1880" t="str">
        <f>FHD_P_72</f>
        <v xml:space="preserve">Среднесписочная численность основного производственного персонала</v>
      </c>
      <c r="G112" s="1876" t="s">
        <v>592</v>
      </c>
      <c r="H112" s="577"/>
      <c r="I112" s="577"/>
      <c r="J112" s="577"/>
      <c r="K112" s="289" t="str">
        <f>FHD_NOTE_P_72</f>
        <v/>
      </c>
      <c r="L112" s="543"/>
      <c r="AG112" s="1631">
        <v>19</v>
      </c>
    </row>
    <row r="113" ht="18.75" hidden="1" customHeight="1">
      <c r="A113" s="989" t="s">
        <v>593</v>
      </c>
      <c r="D113" s="1638"/>
      <c r="E113" s="546" t="str">
        <f>FHD_NUM_P_73</f>
        <v/>
      </c>
      <c r="F113" s="1880" t="str">
        <f>FHD_P_73</f>
        <v/>
      </c>
      <c r="G113" s="970" t="s">
        <v>592</v>
      </c>
      <c r="H113" s="968"/>
      <c r="I113" s="968"/>
      <c r="J113" s="968"/>
      <c r="K113" s="289" t="str">
        <f>FHD_NOTE_P_73</f>
        <v/>
      </c>
      <c r="L113" s="543"/>
      <c r="AG113" s="1631">
        <v>0</v>
      </c>
    </row>
    <row r="114" ht="33.75" hidden="1" customHeight="1">
      <c r="A114" s="989" t="s">
        <v>594</v>
      </c>
      <c r="D114" s="1638"/>
      <c r="E114" s="546" t="str">
        <f>FHD_NUM_P_74</f>
        <v/>
      </c>
      <c r="F114" s="1880" t="str">
        <f>FHD_P_74</f>
        <v/>
      </c>
      <c r="G114" s="1876" t="s">
        <v>595</v>
      </c>
      <c r="H114" s="577"/>
      <c r="I114" s="577"/>
      <c r="J114" s="577"/>
      <c r="K114" s="289" t="str">
        <f>FHD_NOTE_P_74</f>
        <v/>
      </c>
      <c r="L114" s="543"/>
      <c r="AG114" s="1631">
        <v>0</v>
      </c>
    </row>
    <row r="115" s="1635" customFormat="1" ht="18.75" hidden="1" customHeight="1">
      <c r="A115" s="2373" t="s">
        <v>596</v>
      </c>
      <c r="B115" s="910"/>
      <c r="C115" s="735"/>
      <c r="D115" s="733"/>
      <c r="E115" s="546" t="str">
        <f>FHD_NUM_P_75</f>
        <v/>
      </c>
      <c r="F115" s="1880" t="str">
        <f>FHD_P_75</f>
        <v/>
      </c>
      <c r="G115" s="1876" t="s">
        <v>560</v>
      </c>
      <c r="H115" s="557"/>
      <c r="I115" s="557"/>
      <c r="J115" s="557"/>
      <c r="K115" s="289" t="str">
        <f>FHD_NOTE_P_75</f>
        <v/>
      </c>
      <c r="L115" s="734"/>
      <c r="M115" s="735"/>
      <c r="N115" s="735"/>
      <c r="O115" s="910"/>
      <c r="P115" s="910"/>
      <c r="Q115" s="910"/>
      <c r="R115" s="910"/>
      <c r="S115" s="735"/>
      <c r="T115" s="910"/>
      <c r="U115" s="910"/>
      <c r="V115" s="736"/>
      <c r="W115" s="910"/>
      <c r="X115" s="910"/>
      <c r="Y115" s="910"/>
      <c r="Z115" s="910"/>
      <c r="AA115" s="910"/>
      <c r="AB115" s="737"/>
      <c r="AC115" s="737"/>
      <c r="AD115" s="737"/>
      <c r="AE115" s="737"/>
      <c r="AF115" s="737"/>
      <c r="AG115" s="739">
        <v>0</v>
      </c>
    </row>
    <row r="116" s="1635" customFormat="1" ht="18.75" hidden="1" customHeight="1">
      <c r="A116" s="2373"/>
      <c r="B116" s="910"/>
      <c r="C116" s="735"/>
      <c r="D116" s="733"/>
      <c r="E116" s="546" t="str">
        <f>FHD_NUM_P_76</f>
        <v/>
      </c>
      <c r="F116" s="1880" t="str">
        <f>FHD_P_76</f>
        <v/>
      </c>
      <c r="G116" s="1876" t="s">
        <v>560</v>
      </c>
      <c r="H116" s="557"/>
      <c r="I116" s="557"/>
      <c r="J116" s="557"/>
      <c r="K116" s="289" t="str">
        <f>FHD_NOTE_P_76</f>
        <v/>
      </c>
      <c r="L116" s="734"/>
      <c r="M116" s="735"/>
      <c r="N116" s="735"/>
      <c r="O116" s="910"/>
      <c r="P116" s="910"/>
      <c r="Q116" s="910"/>
      <c r="R116" s="910"/>
      <c r="S116" s="735"/>
      <c r="T116" s="910"/>
      <c r="U116" s="910"/>
      <c r="V116" s="736"/>
      <c r="W116" s="910"/>
      <c r="X116" s="910"/>
      <c r="Y116" s="910"/>
      <c r="Z116" s="910"/>
      <c r="AA116" s="910"/>
      <c r="AB116" s="737"/>
      <c r="AC116" s="737"/>
      <c r="AD116" s="737"/>
      <c r="AE116" s="737"/>
      <c r="AF116" s="737"/>
      <c r="AG116" s="739">
        <v>0</v>
      </c>
    </row>
    <row r="117" s="1635" customFormat="1" ht="18.75" hidden="1" customHeight="1">
      <c r="A117" s="2373"/>
      <c r="B117" s="910"/>
      <c r="C117" s="735"/>
      <c r="D117" s="733"/>
      <c r="E117" s="546" t="str">
        <f>FHD_NUM_P_77</f>
        <v/>
      </c>
      <c r="F117" s="1880" t="str">
        <f>FHD_P_77</f>
        <v/>
      </c>
      <c r="G117" s="1876" t="s">
        <v>560</v>
      </c>
      <c r="H117" s="557"/>
      <c r="I117" s="557"/>
      <c r="J117" s="557"/>
      <c r="K117" s="289" t="str">
        <f>FHD_NOTE_P_77</f>
        <v/>
      </c>
      <c r="L117" s="734"/>
      <c r="M117" s="735"/>
      <c r="N117" s="735"/>
      <c r="O117" s="910"/>
      <c r="P117" s="910"/>
      <c r="Q117" s="910"/>
      <c r="R117" s="910"/>
      <c r="S117" s="735"/>
      <c r="T117" s="910"/>
      <c r="U117" s="910"/>
      <c r="V117" s="736"/>
      <c r="W117" s="910"/>
      <c r="X117" s="910"/>
      <c r="Y117" s="910"/>
      <c r="Z117" s="910"/>
      <c r="AA117" s="910"/>
      <c r="AB117" s="737"/>
      <c r="AC117" s="737"/>
      <c r="AD117" s="737"/>
      <c r="AE117" s="737"/>
      <c r="AF117" s="737"/>
      <c r="AG117" s="739">
        <v>0</v>
      </c>
    </row>
    <row r="118" s="1642" customFormat="1" ht="0.75" hidden="1" customHeight="1">
      <c r="A118" s="2373"/>
      <c r="D118" s="548"/>
      <c r="E118" s="1013" t="str">
        <f>E117&amp;".0"</f>
        <v>.0</v>
      </c>
      <c r="F118" s="997"/>
      <c r="G118" s="1651"/>
      <c r="H118" s="992"/>
      <c r="I118" s="992"/>
      <c r="J118" s="992"/>
      <c r="K118" s="996"/>
      <c r="AG118" s="1636">
        <v>0</v>
      </c>
    </row>
    <row r="119" s="1635" customFormat="1" ht="15" hidden="1" customHeight="1">
      <c r="A119" s="2373"/>
      <c r="B119" s="910"/>
      <c r="C119" s="735"/>
      <c r="D119" s="746"/>
      <c r="E119" s="973"/>
      <c r="F119" s="974" t="s">
        <v>597</v>
      </c>
      <c r="G119" s="747"/>
      <c r="H119" s="748"/>
      <c r="I119" s="748"/>
      <c r="J119" s="2633"/>
      <c r="K119" s="1003" t="s">
        <v>598</v>
      </c>
      <c r="L119" s="734"/>
      <c r="M119" s="735"/>
      <c r="N119" s="735"/>
      <c r="O119" s="910"/>
      <c r="P119" s="910"/>
      <c r="Q119" s="910"/>
      <c r="R119" s="910"/>
      <c r="S119" s="735"/>
      <c r="T119" s="910"/>
      <c r="U119" s="910"/>
      <c r="V119" s="736"/>
      <c r="W119" s="910"/>
      <c r="X119" s="910"/>
      <c r="Y119" s="910"/>
      <c r="Z119" s="910"/>
      <c r="AA119" s="910"/>
      <c r="AB119" s="737"/>
      <c r="AC119" s="737"/>
      <c r="AD119" s="737"/>
      <c r="AE119" s="737"/>
      <c r="AF119" s="737"/>
      <c r="AG119" s="739">
        <v>0</v>
      </c>
    </row>
    <row r="120" ht="22.5" hidden="1" customHeight="1">
      <c r="A120" s="2371" t="s">
        <v>599</v>
      </c>
      <c r="D120" s="1638"/>
      <c r="E120" s="546" t="str">
        <f>FHD_NUM_P_78</f>
        <v/>
      </c>
      <c r="F120" s="1880" t="str">
        <f>FHD_P_78</f>
        <v/>
      </c>
      <c r="G120" s="1877" t="s">
        <v>562</v>
      </c>
      <c r="H120" s="577"/>
      <c r="I120" s="577"/>
      <c r="J120" s="577"/>
      <c r="K120" s="289" t="str">
        <f>FHD_NOTE_P_78</f>
        <v/>
      </c>
      <c r="L120" s="543"/>
      <c r="AG120" s="1631">
        <v>0</v>
      </c>
    </row>
    <row r="121" s="1642" customFormat="1" ht="0.75" hidden="1" customHeight="1">
      <c r="A121" s="2371"/>
      <c r="D121" s="548"/>
      <c r="E121" s="1013" t="str">
        <f>E120&amp;".0"</f>
        <v>.0</v>
      </c>
      <c r="F121" s="997"/>
      <c r="G121" s="1651"/>
      <c r="H121" s="992"/>
      <c r="I121" s="992"/>
      <c r="J121" s="992"/>
      <c r="K121" s="996"/>
      <c r="AG121" s="1636">
        <v>0</v>
      </c>
    </row>
    <row r="122" ht="15" hidden="1" customHeight="1">
      <c r="A122" s="2371"/>
      <c r="D122" s="1633"/>
      <c r="E122" s="570"/>
      <c r="F122" s="1168" t="s">
        <v>588</v>
      </c>
      <c r="G122" s="572"/>
      <c r="H122" s="573"/>
      <c r="I122" s="573"/>
      <c r="J122" s="2632"/>
      <c r="K122" s="1004" t="s">
        <v>600</v>
      </c>
      <c r="L122" s="543"/>
      <c r="AG122" s="1631">
        <v>0</v>
      </c>
    </row>
    <row r="123" ht="22.5" hidden="1" customHeight="1">
      <c r="A123" s="2371"/>
      <c r="D123" s="1638"/>
      <c r="E123" s="546" t="str">
        <f>FHD_NUM_P_79</f>
        <v/>
      </c>
      <c r="F123" s="1880" t="str">
        <f>FHD_P_79</f>
        <v/>
      </c>
      <c r="G123" s="1878" t="s">
        <v>564</v>
      </c>
      <c r="H123" s="577"/>
      <c r="I123" s="577"/>
      <c r="J123" s="577"/>
      <c r="K123" s="289" t="str">
        <f>FHD_NOTE_P_79</f>
        <v/>
      </c>
      <c r="L123" s="543"/>
      <c r="AG123" s="1631">
        <v>0</v>
      </c>
    </row>
    <row r="124" s="1642" customFormat="1" ht="0.75" hidden="1" customHeight="1">
      <c r="A124" s="2371"/>
      <c r="D124" s="548"/>
      <c r="E124" s="1013" t="str">
        <f>E123&amp;".0"</f>
        <v>.0</v>
      </c>
      <c r="F124" s="998"/>
      <c r="G124" s="1651"/>
      <c r="H124" s="992"/>
      <c r="I124" s="992"/>
      <c r="J124" s="992"/>
      <c r="K124" s="996"/>
      <c r="AG124" s="1636">
        <v>0</v>
      </c>
    </row>
    <row r="125" ht="15" hidden="1" customHeight="1">
      <c r="A125" s="2371"/>
      <c r="D125" s="1633"/>
      <c r="E125" s="570"/>
      <c r="F125" s="1168" t="s">
        <v>588</v>
      </c>
      <c r="G125" s="572"/>
      <c r="H125" s="573"/>
      <c r="I125" s="573"/>
      <c r="J125" s="2632"/>
      <c r="K125" s="1004" t="s">
        <v>601</v>
      </c>
      <c r="L125" s="543"/>
      <c r="AG125" s="1631">
        <v>0</v>
      </c>
    </row>
    <row r="126" ht="22.5" hidden="1" customHeight="1">
      <c r="A126" s="2371"/>
      <c r="D126" s="1638"/>
      <c r="E126" s="546" t="str">
        <f>FHD_NUM_P_80</f>
        <v/>
      </c>
      <c r="F126" s="1880" t="str">
        <f>FHD_P_80</f>
        <v/>
      </c>
      <c r="G126" s="1878" t="s">
        <v>602</v>
      </c>
      <c r="H126" s="557"/>
      <c r="I126" s="557"/>
      <c r="J126" s="557"/>
      <c r="K126" s="289" t="str">
        <f>FHD_NOTE_P_80</f>
        <v/>
      </c>
      <c r="L126" s="543"/>
      <c r="AG126" s="1631">
        <v>0</v>
      </c>
    </row>
    <row r="127" ht="18.75" hidden="1" customHeight="1">
      <c r="A127" s="2371"/>
      <c r="D127" s="1638"/>
      <c r="E127" s="546" t="str">
        <f>FHD_NUM_P_81</f>
        <v/>
      </c>
      <c r="F127" s="1880" t="str">
        <f>FHD_P_81</f>
        <v/>
      </c>
      <c r="G127" s="1878" t="s">
        <v>603</v>
      </c>
      <c r="H127" s="557"/>
      <c r="I127" s="557"/>
      <c r="J127" s="557"/>
      <c r="K127" s="289" t="str">
        <f>FHD_NOTE_P_81</f>
        <v/>
      </c>
      <c r="L127" s="543"/>
      <c r="AG127" s="1631">
        <v>0</v>
      </c>
    </row>
    <row r="128" ht="18.75" hidden="1" customHeight="1">
      <c r="A128" s="2371"/>
      <c r="C128" s="1636" t="s">
        <v>590</v>
      </c>
      <c r="D128" s="1638"/>
      <c r="E128" s="546" t="str">
        <f>FHD_NUM_P_82</f>
        <v/>
      </c>
      <c r="F128" s="1880" t="str">
        <f>FHD_P_82</f>
        <v/>
      </c>
      <c r="G128" s="1878" t="s">
        <v>308</v>
      </c>
      <c r="H128" s="401"/>
      <c r="I128" s="401"/>
      <c r="J128" s="818"/>
      <c r="K128" s="289" t="str">
        <f>FHD_NOTE_P_82</f>
        <v/>
      </c>
      <c r="L128" s="543"/>
      <c r="AG128" s="1631">
        <v>0</v>
      </c>
    </row>
    <row r="129" ht="18.75" hidden="1" customHeight="1">
      <c r="A129" s="2371"/>
      <c r="C129" s="1636" t="s">
        <v>590</v>
      </c>
      <c r="D129" s="1638"/>
      <c r="E129" s="546" t="str">
        <f>FHD_NUM_P_83</f>
        <v/>
      </c>
      <c r="F129" s="1524" t="str">
        <f>FHD_P_83</f>
        <v/>
      </c>
      <c r="G129" s="1878" t="s">
        <v>308</v>
      </c>
      <c r="H129" s="401"/>
      <c r="I129" s="401"/>
      <c r="J129" s="818"/>
      <c r="K129" s="289" t="str">
        <f>FHD_NOTE_P_83</f>
        <v/>
      </c>
      <c r="L129" s="543"/>
      <c r="AG129" s="1631">
        <v>0</v>
      </c>
    </row>
    <row r="130" ht="18.75" hidden="1" customHeight="1">
      <c r="A130" s="2371"/>
      <c r="C130" s="1636" t="s">
        <v>590</v>
      </c>
      <c r="D130" s="1638"/>
      <c r="E130" s="546" t="str">
        <f>FHD_NUM_P_84</f>
        <v/>
      </c>
      <c r="F130" s="1524" t="str">
        <f>FHD_P_84</f>
        <v/>
      </c>
      <c r="G130" s="1878" t="s">
        <v>308</v>
      </c>
      <c r="H130" s="401"/>
      <c r="I130" s="401"/>
      <c r="J130" s="818"/>
      <c r="K130" s="289" t="str">
        <f>FHD_NOTE_P_84</f>
        <v/>
      </c>
      <c r="L130" s="543"/>
      <c r="AG130" s="1631">
        <v>0</v>
      </c>
    </row>
    <row r="131" ht="11.5" customHeight="1">
      <c r="D131" s="1638"/>
      <c r="J131" s="1635"/>
      <c r="AG131" s="1631">
        <v>11</v>
      </c>
    </row>
    <row r="132" ht="13.5" customHeight="1">
      <c r="D132" s="1638"/>
      <c r="E132" s="336"/>
      <c r="F132" s="369"/>
      <c r="G132" s="369"/>
      <c r="H132" s="369"/>
      <c r="I132" s="1647"/>
      <c r="J132" s="1687"/>
      <c r="K132" s="581"/>
      <c r="AG132" s="1631">
        <v>13</v>
      </c>
    </row>
    <row r="133" s="1641" customFormat="1" ht="11.5" customHeight="1">
      <c r="A133" s="987"/>
      <c r="B133" s="1636"/>
      <c r="C133" s="1636"/>
      <c r="D133" s="351"/>
      <c r="F133" s="1640"/>
      <c r="G133" s="1631"/>
      <c r="H133" s="1631"/>
      <c r="I133" s="1631"/>
      <c r="J133" s="1635"/>
      <c r="L133" s="1160"/>
      <c r="M133" s="1636"/>
      <c r="N133" s="1636"/>
      <c r="O133" s="1160"/>
      <c r="P133" s="1160"/>
      <c r="Q133" s="1160"/>
      <c r="R133" s="1160"/>
      <c r="S133" s="1636"/>
      <c r="T133" s="1160"/>
      <c r="U133" s="1160"/>
      <c r="V133" s="544"/>
      <c r="W133" s="1160"/>
      <c r="X133" s="1160"/>
      <c r="Y133" s="1160"/>
      <c r="Z133" s="1160"/>
      <c r="AA133" s="1160"/>
      <c r="AB133" s="1632"/>
      <c r="AC133" s="566"/>
      <c r="AD133" s="566"/>
      <c r="AE133" s="566"/>
      <c r="AF133" s="566"/>
      <c r="AG133" s="1641">
        <v>11</v>
      </c>
    </row>
    <row r="134" s="1641" customFormat="1" ht="11.5" customHeight="1">
      <c r="A134" s="987"/>
      <c r="B134" s="1636"/>
      <c r="C134" s="1636"/>
      <c r="D134" s="351"/>
      <c r="J134" s="1641"/>
      <c r="L134" s="1160"/>
      <c r="M134" s="1636"/>
      <c r="N134" s="1636"/>
      <c r="O134" s="1160"/>
      <c r="P134" s="1160"/>
      <c r="Q134" s="1160"/>
      <c r="R134" s="1160"/>
      <c r="S134" s="1636"/>
      <c r="T134" s="1160"/>
      <c r="U134" s="1160"/>
      <c r="V134" s="544"/>
      <c r="W134" s="1160"/>
      <c r="X134" s="1160"/>
      <c r="Y134" s="1160"/>
      <c r="Z134" s="1160"/>
      <c r="AA134" s="1160"/>
      <c r="AB134" s="1632"/>
      <c r="AC134" s="566"/>
      <c r="AD134" s="566"/>
      <c r="AE134" s="566"/>
      <c r="AF134" s="566"/>
      <c r="AG134" s="1641">
        <v>11</v>
      </c>
    </row>
    <row r="135" s="1641" customFormat="1" ht="11.5" customHeight="1">
      <c r="A135" s="987"/>
      <c r="B135" s="1636"/>
      <c r="C135" s="1636"/>
      <c r="D135" s="351"/>
      <c r="J135" s="1641"/>
      <c r="L135" s="1160"/>
      <c r="M135" s="1636"/>
      <c r="N135" s="1636"/>
      <c r="O135" s="1160"/>
      <c r="P135" s="1160"/>
      <c r="Q135" s="1160"/>
      <c r="R135" s="1160"/>
      <c r="S135" s="1636"/>
      <c r="T135" s="1160"/>
      <c r="U135" s="1160"/>
      <c r="V135" s="544"/>
      <c r="W135" s="1160"/>
      <c r="X135" s="1160"/>
      <c r="Y135" s="1160"/>
      <c r="Z135" s="1160"/>
      <c r="AA135" s="1160"/>
      <c r="AB135" s="1632"/>
      <c r="AC135" s="566"/>
      <c r="AD135" s="566"/>
      <c r="AE135" s="566"/>
      <c r="AF135" s="566"/>
      <c r="AG135" s="1641">
        <v>11</v>
      </c>
    </row>
    <row r="136" s="1641" customFormat="1" ht="11.5" customHeight="1">
      <c r="A136" s="987"/>
      <c r="B136" s="1636"/>
      <c r="C136" s="1636"/>
      <c r="D136" s="351"/>
      <c r="H136" s="566" t="str">
        <f>IF(H30-H31&lt;&gt;H72,"WARNING","")</f>
        <v/>
      </c>
      <c r="I136" s="566" t="str">
        <f>IF(I30-I31&lt;&gt;I72,"WARNING","")</f>
        <v/>
      </c>
      <c r="J136" s="622" t="str">
        <f>IF(J30-J31&lt;&gt;J72,"WARNING","")</f>
        <v/>
      </c>
      <c r="L136" s="1160"/>
      <c r="M136" s="1636"/>
      <c r="N136" s="1636"/>
      <c r="O136" s="1160"/>
      <c r="P136" s="1160"/>
      <c r="Q136" s="1160"/>
      <c r="R136" s="1160"/>
      <c r="S136" s="1636"/>
      <c r="T136" s="1160"/>
      <c r="U136" s="1160"/>
      <c r="V136" s="544"/>
      <c r="W136" s="1160"/>
      <c r="X136" s="1160"/>
      <c r="Y136" s="1160"/>
      <c r="Z136" s="1160"/>
      <c r="AA136" s="1160"/>
      <c r="AB136" s="1632"/>
      <c r="AC136" s="566"/>
      <c r="AD136" s="566"/>
      <c r="AE136" s="566"/>
      <c r="AF136" s="566"/>
      <c r="AG136" s="1641">
        <v>11</v>
      </c>
    </row>
    <row r="137" s="1641" customFormat="1" ht="11.5" customHeight="1">
      <c r="A137" s="987"/>
      <c r="B137" s="1636"/>
      <c r="C137" s="1636"/>
      <c r="D137" s="351"/>
      <c r="J137" s="1641"/>
      <c r="L137" s="1160"/>
      <c r="M137" s="1636"/>
      <c r="N137" s="1636"/>
      <c r="O137" s="1160"/>
      <c r="P137" s="1160"/>
      <c r="Q137" s="1160"/>
      <c r="R137" s="1160"/>
      <c r="S137" s="1636"/>
      <c r="T137" s="1160"/>
      <c r="U137" s="1160"/>
      <c r="V137" s="544"/>
      <c r="W137" s="1160"/>
      <c r="X137" s="1160"/>
      <c r="Y137" s="1160"/>
      <c r="Z137" s="1160"/>
      <c r="AA137" s="1160"/>
      <c r="AB137" s="1632"/>
      <c r="AC137" s="566"/>
      <c r="AD137" s="566"/>
      <c r="AE137" s="566"/>
      <c r="AF137" s="566"/>
      <c r="AG137" s="1641">
        <v>11</v>
      </c>
    </row>
    <row r="138" s="1641" customFormat="1" ht="11.5" customHeight="1">
      <c r="A138" s="987"/>
      <c r="B138" s="1636"/>
      <c r="C138" s="1636"/>
      <c r="D138" s="351"/>
      <c r="J138" s="1641"/>
      <c r="L138" s="1160"/>
      <c r="M138" s="1636"/>
      <c r="N138" s="1636"/>
      <c r="O138" s="1160"/>
      <c r="P138" s="1160"/>
      <c r="Q138" s="1160"/>
      <c r="R138" s="1160"/>
      <c r="S138" s="1636"/>
      <c r="T138" s="1160"/>
      <c r="U138" s="1160"/>
      <c r="V138" s="544"/>
      <c r="W138" s="1160"/>
      <c r="X138" s="1160"/>
      <c r="Y138" s="1160"/>
      <c r="Z138" s="1160"/>
      <c r="AA138" s="1160"/>
      <c r="AB138" s="1632"/>
      <c r="AC138" s="566"/>
      <c r="AD138" s="566"/>
      <c r="AE138" s="566"/>
      <c r="AF138" s="566"/>
      <c r="AG138" s="1641">
        <v>11</v>
      </c>
    </row>
    <row r="139" s="1641" customFormat="1" ht="11.5" customHeight="1">
      <c r="A139" s="987"/>
      <c r="B139" s="1636"/>
      <c r="C139" s="1636"/>
      <c r="D139" s="351"/>
      <c r="J139" s="1641"/>
      <c r="L139" s="1160"/>
      <c r="M139" s="1636"/>
      <c r="N139" s="1636"/>
      <c r="O139" s="1160"/>
      <c r="P139" s="1160"/>
      <c r="Q139" s="1160"/>
      <c r="R139" s="1160"/>
      <c r="S139" s="1636"/>
      <c r="T139" s="1160"/>
      <c r="U139" s="1160"/>
      <c r="V139" s="544"/>
      <c r="W139" s="1160"/>
      <c r="X139" s="1160"/>
      <c r="Y139" s="1160"/>
      <c r="Z139" s="1160"/>
      <c r="AA139" s="1160"/>
      <c r="AB139" s="1632"/>
      <c r="AC139" s="566"/>
      <c r="AD139" s="566"/>
      <c r="AE139" s="566"/>
      <c r="AF139" s="566"/>
      <c r="AG139" s="1641">
        <v>11</v>
      </c>
    </row>
    <row r="140" s="1641" customFormat="1" ht="11.5" customHeight="1">
      <c r="A140" s="987"/>
      <c r="B140" s="1636"/>
      <c r="C140" s="1636"/>
      <c r="D140" s="351"/>
      <c r="J140" s="1641"/>
      <c r="L140" s="1160"/>
      <c r="M140" s="1636"/>
      <c r="N140" s="1636"/>
      <c r="O140" s="1160"/>
      <c r="P140" s="1160"/>
      <c r="Q140" s="1160"/>
      <c r="R140" s="1160"/>
      <c r="S140" s="1636"/>
      <c r="T140" s="1160"/>
      <c r="U140" s="1160"/>
      <c r="V140" s="544"/>
      <c r="W140" s="1160"/>
      <c r="X140" s="1160"/>
      <c r="Y140" s="1160"/>
      <c r="Z140" s="1160"/>
      <c r="AA140" s="1160"/>
      <c r="AB140" s="1632"/>
      <c r="AC140" s="566"/>
      <c r="AD140" s="566"/>
      <c r="AE140" s="566"/>
      <c r="AF140" s="566"/>
      <c r="AG140" s="1641">
        <v>11</v>
      </c>
    </row>
    <row r="141" s="1641" customFormat="1" ht="11.5" customHeight="1">
      <c r="A141" s="987"/>
      <c r="B141" s="1636"/>
      <c r="C141" s="1636"/>
      <c r="D141" s="351"/>
      <c r="J141" s="1641"/>
      <c r="L141" s="1160"/>
      <c r="M141" s="1636"/>
      <c r="N141" s="1636"/>
      <c r="O141" s="1160"/>
      <c r="P141" s="1160"/>
      <c r="Q141" s="1160"/>
      <c r="R141" s="1160"/>
      <c r="S141" s="1636"/>
      <c r="T141" s="1160"/>
      <c r="U141" s="1160"/>
      <c r="V141" s="544"/>
      <c r="W141" s="1160"/>
      <c r="X141" s="1160"/>
      <c r="Y141" s="1160"/>
      <c r="Z141" s="1160"/>
      <c r="AA141" s="1160"/>
      <c r="AB141" s="1632"/>
      <c r="AC141" s="566"/>
      <c r="AD141" s="566"/>
      <c r="AE141" s="566"/>
      <c r="AF141" s="566"/>
      <c r="AG141" s="1641">
        <v>11</v>
      </c>
    </row>
    <row r="142" s="1641" customFormat="1" ht="11.5" customHeight="1">
      <c r="A142" s="987"/>
      <c r="B142" s="1636"/>
      <c r="C142" s="1636"/>
      <c r="D142" s="351"/>
      <c r="J142" s="1641"/>
      <c r="L142" s="1160"/>
      <c r="M142" s="1636"/>
      <c r="N142" s="1636"/>
      <c r="O142" s="1160"/>
      <c r="P142" s="1160"/>
      <c r="Q142" s="1160"/>
      <c r="R142" s="1160"/>
      <c r="S142" s="1636"/>
      <c r="T142" s="1160"/>
      <c r="U142" s="1160"/>
      <c r="V142" s="544"/>
      <c r="W142" s="1160"/>
      <c r="X142" s="1160"/>
      <c r="Y142" s="1160"/>
      <c r="Z142" s="1160"/>
      <c r="AA142" s="1160"/>
      <c r="AB142" s="1632"/>
      <c r="AC142" s="566"/>
      <c r="AD142" s="566"/>
      <c r="AE142" s="566"/>
      <c r="AF142" s="566"/>
      <c r="AG142" s="1641">
        <v>11</v>
      </c>
    </row>
    <row r="143" s="1641" customFormat="1" ht="11.5" customHeight="1">
      <c r="A143" s="987"/>
      <c r="B143" s="1636"/>
      <c r="C143" s="1636"/>
      <c r="D143" s="351"/>
      <c r="J143" s="1641"/>
      <c r="L143" s="1160"/>
      <c r="M143" s="1636"/>
      <c r="N143" s="1636"/>
      <c r="O143" s="1160"/>
      <c r="P143" s="1160"/>
      <c r="Q143" s="1160"/>
      <c r="R143" s="1160"/>
      <c r="S143" s="1636"/>
      <c r="T143" s="1160"/>
      <c r="U143" s="1160"/>
      <c r="V143" s="544"/>
      <c r="W143" s="1160"/>
      <c r="X143" s="1160"/>
      <c r="Y143" s="1160"/>
      <c r="Z143" s="1160"/>
      <c r="AA143" s="1160"/>
      <c r="AB143" s="1632"/>
      <c r="AC143" s="566"/>
      <c r="AD143" s="566"/>
      <c r="AE143" s="566"/>
      <c r="AF143" s="566"/>
      <c r="AG143" s="1641">
        <v>11</v>
      </c>
    </row>
    <row r="144" s="1641" customFormat="1" ht="11.5" customHeight="1">
      <c r="A144" s="987"/>
      <c r="B144" s="1636"/>
      <c r="C144" s="1636"/>
      <c r="D144" s="351"/>
      <c r="J144" s="1641"/>
      <c r="L144" s="1160"/>
      <c r="M144" s="1636"/>
      <c r="N144" s="1636"/>
      <c r="O144" s="1160"/>
      <c r="P144" s="1160"/>
      <c r="Q144" s="1160"/>
      <c r="R144" s="1160"/>
      <c r="S144" s="1636"/>
      <c r="T144" s="1160"/>
      <c r="U144" s="1160"/>
      <c r="V144" s="544"/>
      <c r="W144" s="1160"/>
      <c r="X144" s="1160"/>
      <c r="Y144" s="1160"/>
      <c r="Z144" s="1160"/>
      <c r="AA144" s="1160"/>
      <c r="AB144" s="1632"/>
      <c r="AC144" s="566"/>
      <c r="AD144" s="566"/>
      <c r="AE144" s="566"/>
      <c r="AF144" s="566"/>
      <c r="AG144" s="1641">
        <v>11</v>
      </c>
    </row>
    <row r="145" s="1641" customFormat="1" ht="11.5" customHeight="1">
      <c r="A145" s="987"/>
      <c r="B145" s="1636"/>
      <c r="C145" s="1636"/>
      <c r="D145" s="351"/>
      <c r="J145" s="1641"/>
      <c r="L145" s="1160"/>
      <c r="M145" s="1636"/>
      <c r="N145" s="1636"/>
      <c r="O145" s="1160"/>
      <c r="P145" s="1160"/>
      <c r="Q145" s="1160"/>
      <c r="R145" s="1160"/>
      <c r="S145" s="1636"/>
      <c r="T145" s="1160"/>
      <c r="U145" s="1160"/>
      <c r="V145" s="544"/>
      <c r="W145" s="1160"/>
      <c r="X145" s="1160"/>
      <c r="Y145" s="1160"/>
      <c r="Z145" s="1160"/>
      <c r="AA145" s="1160"/>
      <c r="AB145" s="1632"/>
      <c r="AC145" s="566"/>
      <c r="AD145" s="566"/>
      <c r="AE145" s="566"/>
      <c r="AF145" s="566"/>
      <c r="AG145" s="1641">
        <v>11</v>
      </c>
    </row>
    <row r="146" s="1641" customFormat="1" ht="11.5" customHeight="1">
      <c r="A146" s="987"/>
      <c r="B146" s="1636"/>
      <c r="C146" s="1636"/>
      <c r="D146" s="351"/>
      <c r="J146" s="1641"/>
      <c r="L146" s="1160"/>
      <c r="M146" s="1636"/>
      <c r="N146" s="1636"/>
      <c r="O146" s="1160"/>
      <c r="P146" s="1160"/>
      <c r="Q146" s="1160"/>
      <c r="R146" s="1160"/>
      <c r="S146" s="1636"/>
      <c r="T146" s="1160"/>
      <c r="U146" s="1160"/>
      <c r="V146" s="544"/>
      <c r="W146" s="1160"/>
      <c r="X146" s="1160"/>
      <c r="Y146" s="1160"/>
      <c r="Z146" s="1160"/>
      <c r="AA146" s="1160"/>
      <c r="AB146" s="1632"/>
      <c r="AC146" s="566"/>
      <c r="AD146" s="566"/>
      <c r="AE146" s="566"/>
      <c r="AF146" s="566"/>
      <c r="AG146" s="1641">
        <v>11</v>
      </c>
    </row>
    <row r="147" s="1641" customFormat="1" ht="11.5" customHeight="1">
      <c r="A147" s="987"/>
      <c r="B147" s="1636"/>
      <c r="C147" s="1636"/>
      <c r="D147" s="351"/>
      <c r="J147" s="1641"/>
      <c r="L147" s="1160"/>
      <c r="M147" s="1636"/>
      <c r="N147" s="1636"/>
      <c r="O147" s="1160"/>
      <c r="P147" s="1160"/>
      <c r="Q147" s="1160"/>
      <c r="R147" s="1160"/>
      <c r="S147" s="1636"/>
      <c r="T147" s="1160"/>
      <c r="U147" s="1160"/>
      <c r="V147" s="544"/>
      <c r="W147" s="1160"/>
      <c r="X147" s="1160"/>
      <c r="Y147" s="1160"/>
      <c r="Z147" s="1160"/>
      <c r="AA147" s="1160"/>
      <c r="AB147" s="1632"/>
      <c r="AC147" s="566"/>
      <c r="AD147" s="566"/>
      <c r="AE147" s="566"/>
      <c r="AF147" s="566"/>
      <c r="AG147" s="1641">
        <v>11</v>
      </c>
    </row>
    <row r="148" s="1641" customFormat="1" ht="11.5" customHeight="1">
      <c r="A148" s="987"/>
      <c r="B148" s="1636"/>
      <c r="C148" s="1636"/>
      <c r="D148" s="351"/>
      <c r="J148" s="1641"/>
      <c r="L148" s="1160"/>
      <c r="M148" s="1636"/>
      <c r="N148" s="1636"/>
      <c r="O148" s="1160"/>
      <c r="P148" s="1160"/>
      <c r="Q148" s="1160"/>
      <c r="R148" s="1160"/>
      <c r="S148" s="1636"/>
      <c r="T148" s="1160"/>
      <c r="U148" s="1160"/>
      <c r="V148" s="544"/>
      <c r="W148" s="1160"/>
      <c r="X148" s="1160"/>
      <c r="Y148" s="1160"/>
      <c r="Z148" s="1160"/>
      <c r="AA148" s="1160"/>
      <c r="AB148" s="1632"/>
      <c r="AC148" s="566"/>
      <c r="AD148" s="566"/>
      <c r="AE148" s="566"/>
      <c r="AF148" s="566"/>
      <c r="AG148" s="1641">
        <v>11</v>
      </c>
    </row>
    <row r="149" s="1641" customFormat="1" ht="11.5" customHeight="1">
      <c r="A149" s="987"/>
      <c r="B149" s="1636"/>
      <c r="C149" s="1636"/>
      <c r="D149" s="351"/>
      <c r="J149" s="1641"/>
      <c r="L149" s="1160"/>
      <c r="M149" s="1636"/>
      <c r="N149" s="1636"/>
      <c r="O149" s="1160"/>
      <c r="P149" s="1160"/>
      <c r="Q149" s="1160"/>
      <c r="R149" s="1160"/>
      <c r="S149" s="1636"/>
      <c r="T149" s="1160"/>
      <c r="U149" s="1160"/>
      <c r="V149" s="544"/>
      <c r="W149" s="1160"/>
      <c r="X149" s="1160"/>
      <c r="Y149" s="1160"/>
      <c r="Z149" s="1160"/>
      <c r="AA149" s="1160"/>
      <c r="AB149" s="1632"/>
      <c r="AC149" s="566"/>
      <c r="AD149" s="566"/>
      <c r="AE149" s="566"/>
      <c r="AF149" s="566"/>
      <c r="AG149" s="1641">
        <v>11</v>
      </c>
    </row>
    <row r="150" s="1641" customFormat="1" ht="11.5" customHeight="1">
      <c r="A150" s="987"/>
      <c r="B150" s="1636"/>
      <c r="C150" s="1636"/>
      <c r="D150" s="351"/>
      <c r="J150" s="1641"/>
      <c r="L150" s="1160"/>
      <c r="M150" s="1636"/>
      <c r="N150" s="1636"/>
      <c r="O150" s="1160"/>
      <c r="P150" s="1160"/>
      <c r="Q150" s="1160"/>
      <c r="R150" s="1160"/>
      <c r="S150" s="1636"/>
      <c r="T150" s="1160"/>
      <c r="U150" s="1160"/>
      <c r="V150" s="544"/>
      <c r="W150" s="1160"/>
      <c r="X150" s="1160"/>
      <c r="Y150" s="1160"/>
      <c r="Z150" s="1160"/>
      <c r="AA150" s="1160"/>
      <c r="AB150" s="1632"/>
      <c r="AC150" s="566"/>
      <c r="AD150" s="566"/>
      <c r="AE150" s="566"/>
      <c r="AF150" s="566"/>
      <c r="AG150" s="1641">
        <v>11</v>
      </c>
    </row>
    <row r="151" s="1641" customFormat="1" ht="11.5" customHeight="1">
      <c r="A151" s="987"/>
      <c r="B151" s="1636"/>
      <c r="C151" s="1636"/>
      <c r="D151" s="351"/>
      <c r="J151" s="1641"/>
      <c r="L151" s="1160"/>
      <c r="M151" s="1636"/>
      <c r="N151" s="1636"/>
      <c r="O151" s="1160"/>
      <c r="P151" s="1160"/>
      <c r="Q151" s="1160"/>
      <c r="R151" s="1160"/>
      <c r="S151" s="1636"/>
      <c r="T151" s="1160"/>
      <c r="U151" s="1160"/>
      <c r="V151" s="544"/>
      <c r="W151" s="1160"/>
      <c r="X151" s="1160"/>
      <c r="Y151" s="1160"/>
      <c r="Z151" s="1160"/>
      <c r="AA151" s="1160"/>
      <c r="AB151" s="1632"/>
      <c r="AC151" s="566"/>
      <c r="AD151" s="566"/>
      <c r="AE151" s="566"/>
      <c r="AF151" s="566"/>
      <c r="AG151" s="1641">
        <v>11</v>
      </c>
    </row>
    <row r="152" s="1641" customFormat="1" ht="11.5" customHeight="1">
      <c r="A152" s="987"/>
      <c r="B152" s="1636"/>
      <c r="C152" s="1636"/>
      <c r="D152" s="351"/>
      <c r="J152" s="1641"/>
      <c r="L152" s="1160"/>
      <c r="M152" s="1636"/>
      <c r="N152" s="1636"/>
      <c r="O152" s="1160"/>
      <c r="P152" s="1160"/>
      <c r="Q152" s="1160"/>
      <c r="R152" s="1160"/>
      <c r="S152" s="1636"/>
      <c r="T152" s="1160"/>
      <c r="U152" s="1160"/>
      <c r="V152" s="544"/>
      <c r="W152" s="1160"/>
      <c r="X152" s="1160"/>
      <c r="Y152" s="1160"/>
      <c r="Z152" s="1160"/>
      <c r="AA152" s="1160"/>
      <c r="AB152" s="1632"/>
      <c r="AC152" s="566"/>
      <c r="AD152" s="566"/>
      <c r="AE152" s="566"/>
      <c r="AF152" s="566"/>
      <c r="AG152" s="1641">
        <v>11</v>
      </c>
    </row>
    <row r="153" s="1641" customFormat="1" ht="11.5" customHeight="1">
      <c r="A153" s="987"/>
      <c r="B153" s="1636"/>
      <c r="C153" s="1636"/>
      <c r="D153" s="351"/>
      <c r="J153" s="1641"/>
      <c r="L153" s="1160"/>
      <c r="M153" s="1636"/>
      <c r="N153" s="1636"/>
      <c r="O153" s="1160"/>
      <c r="P153" s="1160"/>
      <c r="Q153" s="1160"/>
      <c r="R153" s="1160"/>
      <c r="S153" s="1636"/>
      <c r="T153" s="1160"/>
      <c r="U153" s="1160"/>
      <c r="V153" s="544"/>
      <c r="W153" s="1160"/>
      <c r="X153" s="1160"/>
      <c r="Y153" s="1160"/>
      <c r="Z153" s="1160"/>
      <c r="AA153" s="1160"/>
      <c r="AB153" s="1632"/>
      <c r="AC153" s="566"/>
      <c r="AD153" s="566"/>
      <c r="AE153" s="566"/>
      <c r="AF153" s="566"/>
      <c r="AG153" s="1641">
        <v>11</v>
      </c>
    </row>
    <row r="154" s="1641" customFormat="1" ht="11.5" customHeight="1">
      <c r="A154" s="987"/>
      <c r="B154" s="1636"/>
      <c r="C154" s="1636"/>
      <c r="D154" s="351"/>
      <c r="J154" s="1641"/>
      <c r="L154" s="1160"/>
      <c r="M154" s="1636"/>
      <c r="N154" s="1636"/>
      <c r="O154" s="1160"/>
      <c r="P154" s="1160"/>
      <c r="Q154" s="1160"/>
      <c r="R154" s="1160"/>
      <c r="S154" s="1636"/>
      <c r="T154" s="1160"/>
      <c r="U154" s="1160"/>
      <c r="V154" s="544"/>
      <c r="W154" s="1160"/>
      <c r="X154" s="1160"/>
      <c r="Y154" s="1160"/>
      <c r="Z154" s="1160"/>
      <c r="AA154" s="1160"/>
      <c r="AB154" s="1632"/>
      <c r="AC154" s="566"/>
      <c r="AD154" s="566"/>
      <c r="AE154" s="566"/>
      <c r="AF154" s="566"/>
      <c r="AG154" s="1641">
        <v>11</v>
      </c>
    </row>
    <row r="155" s="1641" customFormat="1" ht="11.5" customHeight="1">
      <c r="A155" s="987"/>
      <c r="B155" s="1636"/>
      <c r="C155" s="1636"/>
      <c r="D155" s="351"/>
      <c r="J155" s="1641"/>
      <c r="L155" s="1160"/>
      <c r="M155" s="1636"/>
      <c r="N155" s="1636"/>
      <c r="O155" s="1160"/>
      <c r="P155" s="1160"/>
      <c r="Q155" s="1160"/>
      <c r="R155" s="1160"/>
      <c r="S155" s="1636"/>
      <c r="T155" s="1160"/>
      <c r="U155" s="1160"/>
      <c r="V155" s="544"/>
      <c r="W155" s="1160"/>
      <c r="X155" s="1160"/>
      <c r="Y155" s="1160"/>
      <c r="Z155" s="1160"/>
      <c r="AA155" s="1160"/>
      <c r="AB155" s="1632"/>
      <c r="AC155" s="566"/>
      <c r="AD155" s="566"/>
      <c r="AE155" s="566"/>
      <c r="AF155" s="566"/>
      <c r="AG155" s="1641">
        <v>11</v>
      </c>
    </row>
    <row r="156" s="1641" customFormat="1" ht="11.5" customHeight="1">
      <c r="A156" s="987"/>
      <c r="B156" s="1636"/>
      <c r="C156" s="1636"/>
      <c r="D156" s="351"/>
      <c r="J156" s="1641"/>
      <c r="L156" s="1160"/>
      <c r="M156" s="1636"/>
      <c r="N156" s="1636"/>
      <c r="O156" s="1160"/>
      <c r="P156" s="1160"/>
      <c r="Q156" s="1160"/>
      <c r="R156" s="1160"/>
      <c r="S156" s="1636"/>
      <c r="T156" s="1160"/>
      <c r="U156" s="1160"/>
      <c r="V156" s="544"/>
      <c r="W156" s="1160"/>
      <c r="X156" s="1160"/>
      <c r="Y156" s="1160"/>
      <c r="Z156" s="1160"/>
      <c r="AA156" s="1160"/>
      <c r="AB156" s="1632"/>
      <c r="AC156" s="566"/>
      <c r="AD156" s="566"/>
      <c r="AE156" s="566"/>
      <c r="AF156" s="566"/>
      <c r="AG156" s="1641">
        <v>11</v>
      </c>
    </row>
    <row r="157" s="1641" customFormat="1" ht="11.5" customHeight="1">
      <c r="A157" s="987"/>
      <c r="B157" s="1636"/>
      <c r="C157" s="1636"/>
      <c r="D157" s="351"/>
      <c r="J157" s="1641"/>
      <c r="L157" s="1160"/>
      <c r="M157" s="1636"/>
      <c r="N157" s="1636"/>
      <c r="O157" s="1160"/>
      <c r="P157" s="1160"/>
      <c r="Q157" s="1160"/>
      <c r="R157" s="1160"/>
      <c r="S157" s="1636"/>
      <c r="T157" s="1160"/>
      <c r="U157" s="1160"/>
      <c r="V157" s="544"/>
      <c r="W157" s="1160"/>
      <c r="X157" s="1160"/>
      <c r="Y157" s="1160"/>
      <c r="Z157" s="1160"/>
      <c r="AA157" s="1160"/>
      <c r="AB157" s="1632"/>
      <c r="AC157" s="566"/>
      <c r="AD157" s="566"/>
      <c r="AE157" s="566"/>
      <c r="AF157" s="566"/>
      <c r="AG157" s="1641">
        <v>11</v>
      </c>
    </row>
    <row r="158" s="1641" customFormat="1" ht="11.5" customHeight="1">
      <c r="A158" s="987"/>
      <c r="B158" s="1636"/>
      <c r="C158" s="1636"/>
      <c r="D158" s="351"/>
      <c r="J158" s="1641"/>
      <c r="L158" s="1160"/>
      <c r="M158" s="1636"/>
      <c r="N158" s="1636"/>
      <c r="O158" s="1160"/>
      <c r="P158" s="1160"/>
      <c r="Q158" s="1160"/>
      <c r="R158" s="1160"/>
      <c r="S158" s="1636"/>
      <c r="T158" s="1160"/>
      <c r="U158" s="1160"/>
      <c r="V158" s="544"/>
      <c r="W158" s="1160"/>
      <c r="X158" s="1160"/>
      <c r="Y158" s="1160"/>
      <c r="Z158" s="1160"/>
      <c r="AA158" s="1160"/>
      <c r="AB158" s="1632"/>
      <c r="AC158" s="566"/>
      <c r="AD158" s="566"/>
      <c r="AE158" s="566"/>
      <c r="AF158" s="566"/>
      <c r="AG158" s="1641">
        <v>11</v>
      </c>
    </row>
    <row r="159" s="1641" customFormat="1" ht="11.5" customHeight="1">
      <c r="A159" s="987"/>
      <c r="B159" s="1636"/>
      <c r="C159" s="1636"/>
      <c r="D159" s="351"/>
      <c r="J159" s="1641"/>
      <c r="L159" s="1160"/>
      <c r="M159" s="1636"/>
      <c r="N159" s="1636"/>
      <c r="O159" s="1160"/>
      <c r="P159" s="1160"/>
      <c r="Q159" s="1160"/>
      <c r="R159" s="1160"/>
      <c r="S159" s="1636"/>
      <c r="T159" s="1160"/>
      <c r="U159" s="1160"/>
      <c r="V159" s="544"/>
      <c r="W159" s="1160"/>
      <c r="X159" s="1160"/>
      <c r="Y159" s="1160"/>
      <c r="Z159" s="1160"/>
      <c r="AA159" s="1160"/>
      <c r="AB159" s="1632"/>
      <c r="AC159" s="566"/>
      <c r="AD159" s="566"/>
      <c r="AE159" s="566"/>
      <c r="AF159" s="566"/>
      <c r="AG159" s="1641">
        <v>11</v>
      </c>
    </row>
    <row r="160" s="1641" customFormat="1" ht="11.5" customHeight="1">
      <c r="A160" s="987"/>
      <c r="B160" s="1636"/>
      <c r="C160" s="1636"/>
      <c r="D160" s="351"/>
      <c r="J160" s="1641"/>
      <c r="L160" s="1160"/>
      <c r="M160" s="1636"/>
      <c r="N160" s="1636"/>
      <c r="O160" s="1160"/>
      <c r="P160" s="1160"/>
      <c r="Q160" s="1160"/>
      <c r="R160" s="1160"/>
      <c r="S160" s="1636"/>
      <c r="T160" s="1160"/>
      <c r="U160" s="1160"/>
      <c r="V160" s="544"/>
      <c r="W160" s="1160"/>
      <c r="X160" s="1160"/>
      <c r="Y160" s="1160"/>
      <c r="Z160" s="1160"/>
      <c r="AA160" s="1160"/>
      <c r="AB160" s="1632"/>
      <c r="AC160" s="566"/>
      <c r="AD160" s="566"/>
      <c r="AE160" s="566"/>
      <c r="AF160" s="566"/>
      <c r="AG160" s="1641">
        <v>11</v>
      </c>
    </row>
    <row r="161" s="1641" customFormat="1" ht="11.5" customHeight="1">
      <c r="A161" s="987"/>
      <c r="B161" s="1636"/>
      <c r="C161" s="1636"/>
      <c r="D161" s="351"/>
      <c r="J161" s="1641"/>
      <c r="L161" s="1160"/>
      <c r="M161" s="1636"/>
      <c r="N161" s="1636"/>
      <c r="O161" s="1160"/>
      <c r="P161" s="1160"/>
      <c r="Q161" s="1160"/>
      <c r="R161" s="1160"/>
      <c r="S161" s="1636"/>
      <c r="T161" s="1160"/>
      <c r="U161" s="1160"/>
      <c r="V161" s="544"/>
      <c r="W161" s="1160"/>
      <c r="X161" s="1160"/>
      <c r="Y161" s="1160"/>
      <c r="Z161" s="1160"/>
      <c r="AA161" s="1160"/>
      <c r="AB161" s="1632"/>
      <c r="AC161" s="566"/>
      <c r="AD161" s="566"/>
      <c r="AE161" s="566"/>
      <c r="AF161" s="566"/>
      <c r="AG161" s="1641">
        <v>11</v>
      </c>
    </row>
    <row r="162" s="1641" customFormat="1" ht="11.5" customHeight="1">
      <c r="A162" s="987"/>
      <c r="B162" s="1636"/>
      <c r="C162" s="1636"/>
      <c r="D162" s="351"/>
      <c r="J162" s="1641"/>
      <c r="L162" s="1160"/>
      <c r="M162" s="1636"/>
      <c r="N162" s="1636"/>
      <c r="O162" s="1160"/>
      <c r="P162" s="1160"/>
      <c r="Q162" s="1160"/>
      <c r="R162" s="1160"/>
      <c r="S162" s="1636"/>
      <c r="T162" s="1160"/>
      <c r="U162" s="1160"/>
      <c r="V162" s="544"/>
      <c r="W162" s="1160"/>
      <c r="X162" s="1160"/>
      <c r="Y162" s="1160"/>
      <c r="Z162" s="1160"/>
      <c r="AA162" s="1160"/>
      <c r="AB162" s="1632"/>
      <c r="AC162" s="566"/>
      <c r="AD162" s="566"/>
      <c r="AE162" s="566"/>
      <c r="AF162" s="566"/>
      <c r="AG162" s="1641">
        <v>11</v>
      </c>
    </row>
    <row r="163" s="1641" customFormat="1" ht="11.5" customHeight="1">
      <c r="A163" s="987"/>
      <c r="B163" s="1636"/>
      <c r="C163" s="1636"/>
      <c r="D163" s="351"/>
      <c r="J163" s="1641"/>
      <c r="L163" s="1160"/>
      <c r="M163" s="1636"/>
      <c r="N163" s="1636"/>
      <c r="O163" s="1160"/>
      <c r="P163" s="1160"/>
      <c r="Q163" s="1160"/>
      <c r="R163" s="1160"/>
      <c r="S163" s="1636"/>
      <c r="T163" s="1160"/>
      <c r="U163" s="1160"/>
      <c r="V163" s="544"/>
      <c r="W163" s="1160"/>
      <c r="X163" s="1160"/>
      <c r="Y163" s="1160"/>
      <c r="Z163" s="1160"/>
      <c r="AA163" s="1160"/>
      <c r="AB163" s="1632"/>
      <c r="AC163" s="566"/>
      <c r="AD163" s="566"/>
      <c r="AE163" s="566"/>
      <c r="AF163" s="566"/>
      <c r="AG163" s="1641">
        <v>11</v>
      </c>
    </row>
    <row r="164" s="1641" customFormat="1" ht="11.5" customHeight="1">
      <c r="A164" s="987"/>
      <c r="B164" s="1636"/>
      <c r="C164" s="1636"/>
      <c r="D164" s="351"/>
      <c r="J164" s="1641"/>
      <c r="L164" s="1160"/>
      <c r="M164" s="1636"/>
      <c r="N164" s="1636"/>
      <c r="O164" s="1160"/>
      <c r="P164" s="1160"/>
      <c r="Q164" s="1160"/>
      <c r="R164" s="1160"/>
      <c r="S164" s="1636"/>
      <c r="T164" s="1160"/>
      <c r="U164" s="1160"/>
      <c r="V164" s="544"/>
      <c r="W164" s="1160"/>
      <c r="X164" s="1160"/>
      <c r="Y164" s="1160"/>
      <c r="Z164" s="1160"/>
      <c r="AA164" s="1160"/>
      <c r="AB164" s="1632"/>
      <c r="AC164" s="566"/>
      <c r="AD164" s="566"/>
      <c r="AE164" s="566"/>
      <c r="AF164" s="566"/>
      <c r="AG164" s="1641">
        <v>11</v>
      </c>
    </row>
    <row r="165" s="1641" customFormat="1" ht="11.5" customHeight="1">
      <c r="A165" s="987"/>
      <c r="B165" s="1636"/>
      <c r="C165" s="1636"/>
      <c r="D165" s="351"/>
      <c r="J165" s="1641"/>
      <c r="L165" s="1160"/>
      <c r="M165" s="1636"/>
      <c r="N165" s="1636"/>
      <c r="O165" s="1160"/>
      <c r="P165" s="1160"/>
      <c r="Q165" s="1160"/>
      <c r="R165" s="1160"/>
      <c r="S165" s="1636"/>
      <c r="T165" s="1160"/>
      <c r="U165" s="1160"/>
      <c r="V165" s="544"/>
      <c r="W165" s="1160"/>
      <c r="X165" s="1160"/>
      <c r="Y165" s="1160"/>
      <c r="Z165" s="1160"/>
      <c r="AA165" s="1160"/>
      <c r="AB165" s="1632"/>
      <c r="AC165" s="566"/>
      <c r="AD165" s="566"/>
      <c r="AE165" s="566"/>
      <c r="AF165" s="566"/>
      <c r="AG165" s="1641">
        <v>11</v>
      </c>
    </row>
    <row r="166" s="1641" customFormat="1" ht="11.5" customHeight="1">
      <c r="A166" s="987"/>
      <c r="B166" s="1636"/>
      <c r="C166" s="1636"/>
      <c r="D166" s="351"/>
      <c r="J166" s="1641"/>
      <c r="L166" s="1160"/>
      <c r="M166" s="1636"/>
      <c r="N166" s="1636"/>
      <c r="O166" s="1160"/>
      <c r="P166" s="1160"/>
      <c r="Q166" s="1160"/>
      <c r="R166" s="1160"/>
      <c r="S166" s="1636"/>
      <c r="T166" s="1160"/>
      <c r="U166" s="1160"/>
      <c r="V166" s="544"/>
      <c r="W166" s="1160"/>
      <c r="X166" s="1160"/>
      <c r="Y166" s="1160"/>
      <c r="Z166" s="1160"/>
      <c r="AA166" s="1160"/>
      <c r="AB166" s="1632"/>
      <c r="AC166" s="566"/>
      <c r="AD166" s="566"/>
      <c r="AE166" s="566"/>
      <c r="AF166" s="566"/>
      <c r="AG166" s="1641">
        <v>11</v>
      </c>
    </row>
    <row r="167" s="1641" customFormat="1" ht="11.5" customHeight="1">
      <c r="A167" s="987"/>
      <c r="B167" s="1636"/>
      <c r="C167" s="1636"/>
      <c r="D167" s="351"/>
      <c r="J167" s="1641"/>
      <c r="L167" s="1160"/>
      <c r="M167" s="1636"/>
      <c r="N167" s="1636"/>
      <c r="O167" s="1160"/>
      <c r="P167" s="1160"/>
      <c r="Q167" s="1160"/>
      <c r="R167" s="1160"/>
      <c r="S167" s="1636"/>
      <c r="T167" s="1160"/>
      <c r="U167" s="1160"/>
      <c r="V167" s="544"/>
      <c r="W167" s="1160"/>
      <c r="X167" s="1160"/>
      <c r="Y167" s="1160"/>
      <c r="Z167" s="1160"/>
      <c r="AA167" s="1160"/>
      <c r="AB167" s="1632"/>
      <c r="AC167" s="566"/>
      <c r="AD167" s="566"/>
      <c r="AE167" s="566"/>
      <c r="AF167" s="566"/>
      <c r="AG167" s="1641">
        <v>11</v>
      </c>
    </row>
    <row r="168" s="1641" customFormat="1" ht="11.5" customHeight="1">
      <c r="A168" s="987"/>
      <c r="B168" s="1636"/>
      <c r="C168" s="1636"/>
      <c r="D168" s="351"/>
      <c r="J168" s="1641"/>
      <c r="L168" s="1160"/>
      <c r="M168" s="1636"/>
      <c r="N168" s="1636"/>
      <c r="O168" s="1160"/>
      <c r="P168" s="1160"/>
      <c r="Q168" s="1160"/>
      <c r="R168" s="1160"/>
      <c r="S168" s="1636"/>
      <c r="T168" s="1160"/>
      <c r="U168" s="1160"/>
      <c r="V168" s="544"/>
      <c r="W168" s="1160"/>
      <c r="X168" s="1160"/>
      <c r="Y168" s="1160"/>
      <c r="Z168" s="1160"/>
      <c r="AA168" s="1160"/>
      <c r="AB168" s="1632"/>
      <c r="AC168" s="566"/>
      <c r="AD168" s="566"/>
      <c r="AE168" s="566"/>
      <c r="AF168" s="566"/>
      <c r="AG168" s="1641">
        <v>11</v>
      </c>
    </row>
    <row r="169" s="1641" customFormat="1" ht="11.5" customHeight="1">
      <c r="A169" s="987"/>
      <c r="B169" s="1636"/>
      <c r="C169" s="1636"/>
      <c r="D169" s="351"/>
      <c r="J169" s="1641"/>
      <c r="L169" s="1160"/>
      <c r="M169" s="1636"/>
      <c r="N169" s="1636"/>
      <c r="O169" s="1160"/>
      <c r="P169" s="1160"/>
      <c r="Q169" s="1160"/>
      <c r="R169" s="1160"/>
      <c r="S169" s="1636"/>
      <c r="T169" s="1160"/>
      <c r="U169" s="1160"/>
      <c r="V169" s="544"/>
      <c r="W169" s="1160"/>
      <c r="X169" s="1160"/>
      <c r="Y169" s="1160"/>
      <c r="Z169" s="1160"/>
      <c r="AA169" s="1160"/>
      <c r="AB169" s="1632"/>
      <c r="AC169" s="566"/>
      <c r="AD169" s="566"/>
      <c r="AE169" s="566"/>
      <c r="AF169" s="566"/>
      <c r="AG169" s="1641">
        <v>11</v>
      </c>
    </row>
    <row r="170" s="1641" customFormat="1" ht="11.5" customHeight="1">
      <c r="A170" s="987"/>
      <c r="B170" s="1636"/>
      <c r="C170" s="1636"/>
      <c r="D170" s="351"/>
      <c r="J170" s="1641"/>
      <c r="L170" s="1160"/>
      <c r="M170" s="1636"/>
      <c r="N170" s="1636"/>
      <c r="O170" s="1160"/>
      <c r="P170" s="1160"/>
      <c r="Q170" s="1160"/>
      <c r="R170" s="1160"/>
      <c r="S170" s="1636"/>
      <c r="T170" s="1160"/>
      <c r="U170" s="1160"/>
      <c r="V170" s="544"/>
      <c r="W170" s="1160"/>
      <c r="X170" s="1160"/>
      <c r="Y170" s="1160"/>
      <c r="Z170" s="1160"/>
      <c r="AA170" s="1160"/>
      <c r="AB170" s="1632"/>
      <c r="AC170" s="566"/>
      <c r="AD170" s="566"/>
      <c r="AE170" s="566"/>
      <c r="AF170" s="566"/>
      <c r="AG170" s="1641">
        <v>11</v>
      </c>
    </row>
    <row r="171" s="1641" customFormat="1" ht="11.5" customHeight="1">
      <c r="A171" s="987"/>
      <c r="B171" s="1636"/>
      <c r="C171" s="1636"/>
      <c r="D171" s="351"/>
      <c r="J171" s="1641"/>
      <c r="L171" s="1160"/>
      <c r="M171" s="1636"/>
      <c r="N171" s="1636"/>
      <c r="O171" s="1160"/>
      <c r="P171" s="1160"/>
      <c r="Q171" s="1160"/>
      <c r="R171" s="1160"/>
      <c r="S171" s="1636"/>
      <c r="T171" s="1160"/>
      <c r="U171" s="1160"/>
      <c r="V171" s="544"/>
      <c r="W171" s="1160"/>
      <c r="X171" s="1160"/>
      <c r="Y171" s="1160"/>
      <c r="Z171" s="1160"/>
      <c r="AA171" s="1160"/>
      <c r="AB171" s="1632"/>
      <c r="AC171" s="566"/>
      <c r="AD171" s="566"/>
      <c r="AE171" s="566"/>
      <c r="AF171" s="566"/>
      <c r="AG171" s="1641">
        <v>11</v>
      </c>
    </row>
    <row r="172" s="1641" customFormat="1" ht="11.5" customHeight="1">
      <c r="A172" s="987"/>
      <c r="B172" s="1636"/>
      <c r="C172" s="1636"/>
      <c r="D172" s="351"/>
      <c r="J172" s="1641"/>
      <c r="L172" s="1160"/>
      <c r="M172" s="1636"/>
      <c r="N172" s="1636"/>
      <c r="O172" s="1160"/>
      <c r="P172" s="1160"/>
      <c r="Q172" s="1160"/>
      <c r="R172" s="1160"/>
      <c r="S172" s="1636"/>
      <c r="T172" s="1160"/>
      <c r="U172" s="1160"/>
      <c r="V172" s="544"/>
      <c r="W172" s="1160"/>
      <c r="X172" s="1160"/>
      <c r="Y172" s="1160"/>
      <c r="Z172" s="1160"/>
      <c r="AA172" s="1160"/>
      <c r="AB172" s="1632"/>
      <c r="AC172" s="566"/>
      <c r="AD172" s="566"/>
      <c r="AE172" s="566"/>
      <c r="AF172" s="566"/>
      <c r="AG172" s="1641">
        <v>11</v>
      </c>
    </row>
    <row r="173" s="1641" customFormat="1" ht="11.5" customHeight="1">
      <c r="A173" s="987"/>
      <c r="B173" s="1636"/>
      <c r="C173" s="1636"/>
      <c r="D173" s="351"/>
      <c r="J173" s="1641"/>
      <c r="L173" s="1160"/>
      <c r="M173" s="1636"/>
      <c r="N173" s="1636"/>
      <c r="O173" s="1160"/>
      <c r="P173" s="1160"/>
      <c r="Q173" s="1160"/>
      <c r="R173" s="1160"/>
      <c r="S173" s="1636"/>
      <c r="T173" s="1160"/>
      <c r="U173" s="1160"/>
      <c r="V173" s="544"/>
      <c r="W173" s="1160"/>
      <c r="X173" s="1160"/>
      <c r="Y173" s="1160"/>
      <c r="Z173" s="1160"/>
      <c r="AA173" s="1160"/>
      <c r="AB173" s="1632"/>
      <c r="AC173" s="566"/>
      <c r="AD173" s="566"/>
      <c r="AE173" s="566"/>
      <c r="AF173" s="566"/>
      <c r="AG173" s="1641">
        <v>11</v>
      </c>
    </row>
    <row r="174" s="1641" customFormat="1" ht="11.5" customHeight="1">
      <c r="A174" s="987"/>
      <c r="B174" s="1636"/>
      <c r="C174" s="1636"/>
      <c r="D174" s="351"/>
      <c r="J174" s="1641"/>
      <c r="L174" s="1160"/>
      <c r="M174" s="1636"/>
      <c r="N174" s="1636"/>
      <c r="O174" s="1160"/>
      <c r="P174" s="1160"/>
      <c r="Q174" s="1160"/>
      <c r="R174" s="1160"/>
      <c r="S174" s="1636"/>
      <c r="T174" s="1160"/>
      <c r="U174" s="1160"/>
      <c r="V174" s="544"/>
      <c r="W174" s="1160"/>
      <c r="X174" s="1160"/>
      <c r="Y174" s="1160"/>
      <c r="Z174" s="1160"/>
      <c r="AA174" s="1160"/>
      <c r="AB174" s="1632"/>
      <c r="AC174" s="566"/>
      <c r="AD174" s="566"/>
      <c r="AE174" s="566"/>
      <c r="AF174" s="566"/>
      <c r="AG174" s="1641">
        <v>11</v>
      </c>
    </row>
    <row r="175" s="1641" customFormat="1" ht="11.5" customHeight="1">
      <c r="A175" s="987"/>
      <c r="B175" s="1636"/>
      <c r="C175" s="1636"/>
      <c r="D175" s="351"/>
      <c r="J175" s="1641"/>
      <c r="L175" s="1160"/>
      <c r="M175" s="1636"/>
      <c r="N175" s="1636"/>
      <c r="O175" s="1160"/>
      <c r="P175" s="1160"/>
      <c r="Q175" s="1160"/>
      <c r="R175" s="1160"/>
      <c r="S175" s="1636"/>
      <c r="T175" s="1160"/>
      <c r="U175" s="1160"/>
      <c r="V175" s="544"/>
      <c r="W175" s="1160"/>
      <c r="X175" s="1160"/>
      <c r="Y175" s="1160"/>
      <c r="Z175" s="1160"/>
      <c r="AA175" s="1160"/>
      <c r="AB175" s="1632"/>
      <c r="AC175" s="566"/>
      <c r="AD175" s="566"/>
      <c r="AE175" s="566"/>
      <c r="AF175" s="566"/>
      <c r="AG175" s="1641">
        <v>11</v>
      </c>
    </row>
    <row r="176" s="1641" customFormat="1" ht="11.5" customHeight="1">
      <c r="A176" s="987"/>
      <c r="B176" s="1636"/>
      <c r="C176" s="1636"/>
      <c r="D176" s="351"/>
      <c r="J176" s="1641"/>
      <c r="L176" s="1160"/>
      <c r="M176" s="1636"/>
      <c r="N176" s="1636"/>
      <c r="O176" s="1160"/>
      <c r="P176" s="1160"/>
      <c r="Q176" s="1160"/>
      <c r="R176" s="1160"/>
      <c r="S176" s="1636"/>
      <c r="T176" s="1160"/>
      <c r="U176" s="1160"/>
      <c r="V176" s="544"/>
      <c r="W176" s="1160"/>
      <c r="X176" s="1160"/>
      <c r="Y176" s="1160"/>
      <c r="Z176" s="1160"/>
      <c r="AA176" s="1160"/>
      <c r="AB176" s="1632"/>
      <c r="AC176" s="566"/>
      <c r="AD176" s="566"/>
      <c r="AE176" s="566"/>
      <c r="AF176" s="566"/>
      <c r="AG176" s="1641">
        <v>11</v>
      </c>
    </row>
    <row r="177" s="1641" customFormat="1" ht="11.5" customHeight="1">
      <c r="A177" s="987"/>
      <c r="B177" s="1636"/>
      <c r="C177" s="1636"/>
      <c r="D177" s="351"/>
      <c r="J177" s="1641"/>
      <c r="L177" s="1160"/>
      <c r="M177" s="1636"/>
      <c r="N177" s="1636"/>
      <c r="O177" s="1160"/>
      <c r="P177" s="1160"/>
      <c r="Q177" s="1160"/>
      <c r="R177" s="1160"/>
      <c r="S177" s="1636"/>
      <c r="T177" s="1160"/>
      <c r="U177" s="1160"/>
      <c r="V177" s="544"/>
      <c r="W177" s="1160"/>
      <c r="X177" s="1160"/>
      <c r="Y177" s="1160"/>
      <c r="Z177" s="1160"/>
      <c r="AA177" s="1160"/>
      <c r="AB177" s="1632"/>
      <c r="AC177" s="566"/>
      <c r="AD177" s="566"/>
      <c r="AE177" s="566"/>
      <c r="AF177" s="566"/>
      <c r="AG177" s="1641">
        <v>11</v>
      </c>
    </row>
    <row r="178" s="1641" customFormat="1" ht="11.5" customHeight="1">
      <c r="A178" s="987"/>
      <c r="B178" s="1636"/>
      <c r="C178" s="1636"/>
      <c r="D178" s="351"/>
      <c r="J178" s="1641"/>
      <c r="L178" s="1160"/>
      <c r="M178" s="1636"/>
      <c r="N178" s="1636"/>
      <c r="O178" s="1160"/>
      <c r="P178" s="1160"/>
      <c r="Q178" s="1160"/>
      <c r="R178" s="1160"/>
      <c r="S178" s="1636"/>
      <c r="T178" s="1160"/>
      <c r="U178" s="1160"/>
      <c r="V178" s="544"/>
      <c r="W178" s="1160"/>
      <c r="X178" s="1160"/>
      <c r="Y178" s="1160"/>
      <c r="Z178" s="1160"/>
      <c r="AA178" s="1160"/>
      <c r="AB178" s="1632"/>
      <c r="AC178" s="566"/>
      <c r="AD178" s="566"/>
      <c r="AE178" s="566"/>
      <c r="AF178" s="566"/>
      <c r="AG178" s="1641">
        <v>11</v>
      </c>
    </row>
    <row r="179" s="1641" customFormat="1" ht="11.5" customHeight="1">
      <c r="A179" s="987"/>
      <c r="B179" s="1636"/>
      <c r="C179" s="1636"/>
      <c r="D179" s="351"/>
      <c r="J179" s="1641"/>
      <c r="L179" s="1160"/>
      <c r="M179" s="1636"/>
      <c r="N179" s="1636"/>
      <c r="O179" s="1160"/>
      <c r="P179" s="1160"/>
      <c r="Q179" s="1160"/>
      <c r="R179" s="1160"/>
      <c r="S179" s="1636"/>
      <c r="T179" s="1160"/>
      <c r="U179" s="1160"/>
      <c r="V179" s="544"/>
      <c r="W179" s="1160"/>
      <c r="X179" s="1160"/>
      <c r="Y179" s="1160"/>
      <c r="Z179" s="1160"/>
      <c r="AA179" s="1160"/>
      <c r="AB179" s="1632"/>
      <c r="AC179" s="566"/>
      <c r="AD179" s="566"/>
      <c r="AE179" s="566"/>
      <c r="AF179" s="566"/>
      <c r="AG179" s="1641">
        <v>11</v>
      </c>
    </row>
    <row r="180" s="1641" customFormat="1" ht="11.5" customHeight="1">
      <c r="A180" s="987"/>
      <c r="B180" s="1636"/>
      <c r="C180" s="1636"/>
      <c r="D180" s="351"/>
      <c r="J180" s="1641"/>
      <c r="L180" s="1160"/>
      <c r="M180" s="1636"/>
      <c r="N180" s="1636"/>
      <c r="O180" s="1160"/>
      <c r="P180" s="1160"/>
      <c r="Q180" s="1160"/>
      <c r="R180" s="1160"/>
      <c r="S180" s="1636"/>
      <c r="T180" s="1160"/>
      <c r="U180" s="1160"/>
      <c r="V180" s="544"/>
      <c r="W180" s="1160"/>
      <c r="X180" s="1160"/>
      <c r="Y180" s="1160"/>
      <c r="Z180" s="1160"/>
      <c r="AA180" s="1160"/>
      <c r="AB180" s="1632"/>
      <c r="AC180" s="566"/>
      <c r="AD180" s="566"/>
      <c r="AE180" s="566"/>
      <c r="AF180" s="566"/>
      <c r="AG180" s="1641">
        <v>11</v>
      </c>
    </row>
    <row r="181" s="1641" customFormat="1" ht="11.5" customHeight="1">
      <c r="A181" s="987"/>
      <c r="B181" s="1636"/>
      <c r="C181" s="1636"/>
      <c r="D181" s="351"/>
      <c r="J181" s="1641"/>
      <c r="L181" s="1160"/>
      <c r="M181" s="1636"/>
      <c r="N181" s="1636"/>
      <c r="O181" s="1160"/>
      <c r="P181" s="1160"/>
      <c r="Q181" s="1160"/>
      <c r="R181" s="1160"/>
      <c r="S181" s="1636"/>
      <c r="T181" s="1160"/>
      <c r="U181" s="1160"/>
      <c r="V181" s="544"/>
      <c r="W181" s="1160"/>
      <c r="X181" s="1160"/>
      <c r="Y181" s="1160"/>
      <c r="Z181" s="1160"/>
      <c r="AA181" s="1160"/>
      <c r="AB181" s="1632"/>
      <c r="AC181" s="566"/>
      <c r="AD181" s="566"/>
      <c r="AE181" s="566"/>
      <c r="AF181" s="566"/>
      <c r="AG181" s="1641">
        <v>11</v>
      </c>
    </row>
    <row r="182" s="1641" customFormat="1" ht="11.5" customHeight="1">
      <c r="A182" s="987"/>
      <c r="B182" s="1636"/>
      <c r="C182" s="1636"/>
      <c r="D182" s="351"/>
      <c r="J182" s="1641"/>
      <c r="L182" s="1160"/>
      <c r="M182" s="1636"/>
      <c r="N182" s="1636"/>
      <c r="O182" s="1160"/>
      <c r="P182" s="1160"/>
      <c r="Q182" s="1160"/>
      <c r="R182" s="1160"/>
      <c r="S182" s="1636"/>
      <c r="T182" s="1160"/>
      <c r="U182" s="1160"/>
      <c r="V182" s="544"/>
      <c r="W182" s="1160"/>
      <c r="X182" s="1160"/>
      <c r="Y182" s="1160"/>
      <c r="Z182" s="1160"/>
      <c r="AA182" s="1160"/>
      <c r="AB182" s="1632"/>
      <c r="AC182" s="566"/>
      <c r="AD182" s="566"/>
      <c r="AE182" s="566"/>
      <c r="AF182" s="566"/>
      <c r="AG182" s="1641">
        <v>11</v>
      </c>
    </row>
    <row r="183" s="1641" customFormat="1" ht="11.5" customHeight="1">
      <c r="A183" s="987"/>
      <c r="B183" s="1636"/>
      <c r="C183" s="1636"/>
      <c r="D183" s="351"/>
      <c r="J183" s="1641"/>
      <c r="L183" s="1160"/>
      <c r="M183" s="1636"/>
      <c r="N183" s="1636"/>
      <c r="O183" s="1160"/>
      <c r="P183" s="1160"/>
      <c r="Q183" s="1160"/>
      <c r="R183" s="1160"/>
      <c r="S183" s="1636"/>
      <c r="T183" s="1160"/>
      <c r="U183" s="1160"/>
      <c r="V183" s="544"/>
      <c r="W183" s="1160"/>
      <c r="X183" s="1160"/>
      <c r="Y183" s="1160"/>
      <c r="Z183" s="1160"/>
      <c r="AA183" s="1160"/>
      <c r="AB183" s="1632"/>
      <c r="AC183" s="566"/>
      <c r="AD183" s="566"/>
      <c r="AE183" s="566"/>
      <c r="AF183" s="566"/>
      <c r="AG183" s="1641">
        <v>11</v>
      </c>
    </row>
    <row r="184" s="1641" customFormat="1" ht="11.5" customHeight="1">
      <c r="A184" s="987"/>
      <c r="B184" s="1636"/>
      <c r="C184" s="1636"/>
      <c r="D184" s="351"/>
      <c r="J184" s="1641"/>
      <c r="L184" s="1160"/>
      <c r="M184" s="1636"/>
      <c r="N184" s="1636"/>
      <c r="O184" s="1160"/>
      <c r="P184" s="1160"/>
      <c r="Q184" s="1160"/>
      <c r="R184" s="1160"/>
      <c r="S184" s="1636"/>
      <c r="T184" s="1160"/>
      <c r="U184" s="1160"/>
      <c r="V184" s="544"/>
      <c r="W184" s="1160"/>
      <c r="X184" s="1160"/>
      <c r="Y184" s="1160"/>
      <c r="Z184" s="1160"/>
      <c r="AA184" s="1160"/>
      <c r="AB184" s="1632"/>
      <c r="AC184" s="566"/>
      <c r="AD184" s="566"/>
      <c r="AE184" s="566"/>
      <c r="AF184" s="566"/>
      <c r="AG184" s="1641">
        <v>11</v>
      </c>
    </row>
    <row r="185" s="1641" customFormat="1" ht="11.5" customHeight="1">
      <c r="A185" s="987"/>
      <c r="B185" s="1636"/>
      <c r="C185" s="1636"/>
      <c r="D185" s="351"/>
      <c r="J185" s="1641"/>
      <c r="L185" s="1160"/>
      <c r="M185" s="1636"/>
      <c r="N185" s="1636"/>
      <c r="O185" s="1160"/>
      <c r="P185" s="1160"/>
      <c r="Q185" s="1160"/>
      <c r="R185" s="1160"/>
      <c r="S185" s="1636"/>
      <c r="T185" s="1160"/>
      <c r="U185" s="1160"/>
      <c r="V185" s="544"/>
      <c r="W185" s="1160"/>
      <c r="X185" s="1160"/>
      <c r="Y185" s="1160"/>
      <c r="Z185" s="1160"/>
      <c r="AA185" s="1160"/>
      <c r="AB185" s="1632"/>
      <c r="AC185" s="566"/>
      <c r="AD185" s="566"/>
      <c r="AE185" s="566"/>
      <c r="AF185" s="566"/>
      <c r="AG185" s="1641">
        <v>11</v>
      </c>
    </row>
    <row r="186" s="1641" customFormat="1" ht="11.5" customHeight="1">
      <c r="A186" s="987"/>
      <c r="B186" s="1636"/>
      <c r="C186" s="1636"/>
      <c r="D186" s="351"/>
      <c r="J186" s="1641"/>
      <c r="L186" s="1160"/>
      <c r="M186" s="1636"/>
      <c r="N186" s="1636"/>
      <c r="O186" s="1160"/>
      <c r="P186" s="1160"/>
      <c r="Q186" s="1160"/>
      <c r="R186" s="1160"/>
      <c r="S186" s="1636"/>
      <c r="T186" s="1160"/>
      <c r="U186" s="1160"/>
      <c r="V186" s="544"/>
      <c r="W186" s="1160"/>
      <c r="X186" s="1160"/>
      <c r="Y186" s="1160"/>
      <c r="Z186" s="1160"/>
      <c r="AA186" s="1160"/>
      <c r="AB186" s="1632"/>
      <c r="AC186" s="566"/>
      <c r="AD186" s="566"/>
      <c r="AE186" s="566"/>
      <c r="AF186" s="566"/>
      <c r="AG186" s="1641">
        <v>11</v>
      </c>
    </row>
    <row r="187" s="1641" customFormat="1" ht="11.5" customHeight="1">
      <c r="A187" s="987"/>
      <c r="B187" s="1636"/>
      <c r="C187" s="1636"/>
      <c r="D187" s="351"/>
      <c r="J187" s="1641"/>
      <c r="L187" s="1160"/>
      <c r="M187" s="1636"/>
      <c r="N187" s="1636"/>
      <c r="O187" s="1160"/>
      <c r="P187" s="1160"/>
      <c r="Q187" s="1160"/>
      <c r="R187" s="1160"/>
      <c r="S187" s="1636"/>
      <c r="T187" s="1160"/>
      <c r="U187" s="1160"/>
      <c r="V187" s="544"/>
      <c r="W187" s="1160"/>
      <c r="X187" s="1160"/>
      <c r="Y187" s="1160"/>
      <c r="Z187" s="1160"/>
      <c r="AA187" s="1160"/>
      <c r="AB187" s="1632"/>
      <c r="AC187" s="566"/>
      <c r="AD187" s="566"/>
      <c r="AE187" s="566"/>
      <c r="AF187" s="566"/>
      <c r="AG187" s="1641">
        <v>11</v>
      </c>
    </row>
    <row r="188" s="1641" customFormat="1" ht="11.5" customHeight="1">
      <c r="A188" s="987"/>
      <c r="B188" s="1636"/>
      <c r="C188" s="1636"/>
      <c r="D188" s="351"/>
      <c r="J188" s="1641"/>
      <c r="L188" s="1160"/>
      <c r="M188" s="1636"/>
      <c r="N188" s="1636"/>
      <c r="O188" s="1160"/>
      <c r="P188" s="1160"/>
      <c r="Q188" s="1160"/>
      <c r="R188" s="1160"/>
      <c r="S188" s="1636"/>
      <c r="T188" s="1160"/>
      <c r="U188" s="1160"/>
      <c r="V188" s="544"/>
      <c r="W188" s="1160"/>
      <c r="X188" s="1160"/>
      <c r="Y188" s="1160"/>
      <c r="Z188" s="1160"/>
      <c r="AA188" s="1160"/>
      <c r="AB188" s="1632"/>
      <c r="AC188" s="566"/>
      <c r="AD188" s="566"/>
      <c r="AE188" s="566"/>
      <c r="AF188" s="566"/>
      <c r="AG188" s="1641">
        <v>11</v>
      </c>
    </row>
    <row r="189" s="1641" customFormat="1" ht="11.5" customHeight="1">
      <c r="A189" s="987"/>
      <c r="B189" s="1636"/>
      <c r="C189" s="1636"/>
      <c r="D189" s="351"/>
      <c r="J189" s="1641"/>
      <c r="L189" s="1160"/>
      <c r="M189" s="1636"/>
      <c r="N189" s="1636"/>
      <c r="O189" s="1160"/>
      <c r="P189" s="1160"/>
      <c r="Q189" s="1160"/>
      <c r="R189" s="1160"/>
      <c r="S189" s="1636"/>
      <c r="T189" s="1160"/>
      <c r="U189" s="1160"/>
      <c r="V189" s="544"/>
      <c r="W189" s="1160"/>
      <c r="X189" s="1160"/>
      <c r="Y189" s="1160"/>
      <c r="Z189" s="1160"/>
      <c r="AA189" s="1160"/>
      <c r="AB189" s="1632"/>
      <c r="AC189" s="566"/>
      <c r="AD189" s="566"/>
      <c r="AE189" s="566"/>
      <c r="AF189" s="566"/>
      <c r="AG189" s="1641">
        <v>11</v>
      </c>
    </row>
    <row r="190" s="1641" customFormat="1" ht="11.5" customHeight="1">
      <c r="A190" s="987"/>
      <c r="B190" s="1636"/>
      <c r="C190" s="1636"/>
      <c r="D190" s="351"/>
      <c r="J190" s="1641"/>
      <c r="L190" s="1160"/>
      <c r="M190" s="1636"/>
      <c r="N190" s="1636"/>
      <c r="O190" s="1160"/>
      <c r="P190" s="1160"/>
      <c r="Q190" s="1160"/>
      <c r="R190" s="1160"/>
      <c r="S190" s="1636"/>
      <c r="T190" s="1160"/>
      <c r="U190" s="1160"/>
      <c r="V190" s="544"/>
      <c r="W190" s="1160"/>
      <c r="X190" s="1160"/>
      <c r="Y190" s="1160"/>
      <c r="Z190" s="1160"/>
      <c r="AA190" s="1160"/>
      <c r="AB190" s="1632"/>
      <c r="AC190" s="566"/>
      <c r="AD190" s="566"/>
      <c r="AE190" s="566"/>
      <c r="AF190" s="566"/>
      <c r="AG190" s="1641">
        <v>11</v>
      </c>
    </row>
    <row r="191" s="1641" customFormat="1" ht="11.5" customHeight="1">
      <c r="A191" s="987"/>
      <c r="B191" s="1636"/>
      <c r="C191" s="1636"/>
      <c r="D191" s="351"/>
      <c r="J191" s="1641"/>
      <c r="L191" s="1160"/>
      <c r="M191" s="1636"/>
      <c r="N191" s="1636"/>
      <c r="O191" s="1160"/>
      <c r="P191" s="1160"/>
      <c r="Q191" s="1160"/>
      <c r="R191" s="1160"/>
      <c r="S191" s="1636"/>
      <c r="T191" s="1160"/>
      <c r="U191" s="1160"/>
      <c r="V191" s="544"/>
      <c r="W191" s="1160"/>
      <c r="X191" s="1160"/>
      <c r="Y191" s="1160"/>
      <c r="Z191" s="1160"/>
      <c r="AA191" s="1160"/>
      <c r="AB191" s="1632"/>
      <c r="AC191" s="566"/>
      <c r="AD191" s="566"/>
      <c r="AE191" s="566"/>
      <c r="AF191" s="566"/>
      <c r="AG191" s="1641">
        <v>11</v>
      </c>
    </row>
    <row r="192" s="1641" customFormat="1" ht="11.5" customHeight="1">
      <c r="A192" s="987"/>
      <c r="B192" s="1636"/>
      <c r="C192" s="1636"/>
      <c r="D192" s="351"/>
      <c r="J192" s="1641"/>
      <c r="L192" s="1160"/>
      <c r="M192" s="1636"/>
      <c r="N192" s="1636"/>
      <c r="O192" s="1160"/>
      <c r="P192" s="1160"/>
      <c r="Q192" s="1160"/>
      <c r="R192" s="1160"/>
      <c r="S192" s="1636"/>
      <c r="T192" s="1160"/>
      <c r="U192" s="1160"/>
      <c r="V192" s="544"/>
      <c r="W192" s="1160"/>
      <c r="X192" s="1160"/>
      <c r="Y192" s="1160"/>
      <c r="Z192" s="1160"/>
      <c r="AA192" s="1160"/>
      <c r="AB192" s="1632"/>
      <c r="AC192" s="566"/>
      <c r="AD192" s="566"/>
      <c r="AE192" s="566"/>
      <c r="AF192" s="566"/>
      <c r="AG192" s="1641">
        <v>11</v>
      </c>
    </row>
    <row r="193" s="1641" customFormat="1" ht="11.5" customHeight="1">
      <c r="A193" s="987"/>
      <c r="B193" s="1636"/>
      <c r="C193" s="1636"/>
      <c r="D193" s="351"/>
      <c r="J193" s="1641"/>
      <c r="L193" s="1160"/>
      <c r="M193" s="1636"/>
      <c r="N193" s="1636"/>
      <c r="O193" s="1160"/>
      <c r="P193" s="1160"/>
      <c r="Q193" s="1160"/>
      <c r="R193" s="1160"/>
      <c r="S193" s="1636"/>
      <c r="T193" s="1160"/>
      <c r="U193" s="1160"/>
      <c r="V193" s="544"/>
      <c r="W193" s="1160"/>
      <c r="X193" s="1160"/>
      <c r="Y193" s="1160"/>
      <c r="Z193" s="1160"/>
      <c r="AA193" s="1160"/>
      <c r="AB193" s="1632"/>
      <c r="AC193" s="566"/>
      <c r="AD193" s="566"/>
      <c r="AE193" s="566"/>
      <c r="AF193" s="566"/>
      <c r="AG193" s="1641">
        <v>11</v>
      </c>
    </row>
    <row r="194" s="1641" customFormat="1" ht="11.5" customHeight="1">
      <c r="A194" s="987"/>
      <c r="B194" s="1636"/>
      <c r="C194" s="1636"/>
      <c r="D194" s="351"/>
      <c r="J194" s="1641"/>
      <c r="L194" s="1160"/>
      <c r="M194" s="1636"/>
      <c r="N194" s="1636"/>
      <c r="O194" s="1160"/>
      <c r="P194" s="1160"/>
      <c r="Q194" s="1160"/>
      <c r="R194" s="1160"/>
      <c r="S194" s="1636"/>
      <c r="T194" s="1160"/>
      <c r="U194" s="1160"/>
      <c r="V194" s="544"/>
      <c r="W194" s="1160"/>
      <c r="X194" s="1160"/>
      <c r="Y194" s="1160"/>
      <c r="Z194" s="1160"/>
      <c r="AA194" s="1160"/>
      <c r="AB194" s="1632"/>
      <c r="AC194" s="566"/>
      <c r="AD194" s="566"/>
      <c r="AE194" s="566"/>
      <c r="AF194" s="566"/>
      <c r="AG194" s="1641">
        <v>11</v>
      </c>
    </row>
    <row r="195" s="1641" customFormat="1" ht="11.5" customHeight="1">
      <c r="A195" s="987"/>
      <c r="B195" s="1636"/>
      <c r="C195" s="1636"/>
      <c r="D195" s="351"/>
      <c r="J195" s="1641"/>
      <c r="L195" s="1160"/>
      <c r="M195" s="1636"/>
      <c r="N195" s="1636"/>
      <c r="O195" s="1160"/>
      <c r="P195" s="1160"/>
      <c r="Q195" s="1160"/>
      <c r="R195" s="1160"/>
      <c r="S195" s="1636"/>
      <c r="T195" s="1160"/>
      <c r="U195" s="1160"/>
      <c r="V195" s="544"/>
      <c r="W195" s="1160"/>
      <c r="X195" s="1160"/>
      <c r="Y195" s="1160"/>
      <c r="Z195" s="1160"/>
      <c r="AA195" s="1160"/>
      <c r="AB195" s="1632"/>
      <c r="AC195" s="566"/>
      <c r="AD195" s="566"/>
      <c r="AE195" s="566"/>
      <c r="AF195" s="566"/>
      <c r="AG195" s="1641">
        <v>11</v>
      </c>
    </row>
    <row r="196" s="1641" customFormat="1" ht="11.5" customHeight="1">
      <c r="A196" s="987"/>
      <c r="B196" s="1636"/>
      <c r="C196" s="1636"/>
      <c r="D196" s="351"/>
      <c r="J196" s="1641"/>
      <c r="L196" s="1160"/>
      <c r="M196" s="1636"/>
      <c r="N196" s="1636"/>
      <c r="O196" s="1160"/>
      <c r="P196" s="1160"/>
      <c r="Q196" s="1160"/>
      <c r="R196" s="1160"/>
      <c r="S196" s="1636"/>
      <c r="T196" s="1160"/>
      <c r="U196" s="1160"/>
      <c r="V196" s="544"/>
      <c r="W196" s="1160"/>
      <c r="X196" s="1160"/>
      <c r="Y196" s="1160"/>
      <c r="Z196" s="1160"/>
      <c r="AA196" s="1160"/>
      <c r="AB196" s="1632"/>
      <c r="AC196" s="566"/>
      <c r="AD196" s="566"/>
      <c r="AE196" s="566"/>
      <c r="AF196" s="566"/>
      <c r="AG196" s="1641">
        <v>11</v>
      </c>
    </row>
    <row r="197" s="1641" customFormat="1" ht="11.5" customHeight="1">
      <c r="A197" s="987"/>
      <c r="B197" s="1636"/>
      <c r="C197" s="1636"/>
      <c r="D197" s="351"/>
      <c r="J197" s="1641"/>
      <c r="L197" s="1160"/>
      <c r="M197" s="1636"/>
      <c r="N197" s="1636"/>
      <c r="O197" s="1160"/>
      <c r="P197" s="1160"/>
      <c r="Q197" s="1160"/>
      <c r="R197" s="1160"/>
      <c r="S197" s="1636"/>
      <c r="T197" s="1160"/>
      <c r="U197" s="1160"/>
      <c r="V197" s="544"/>
      <c r="W197" s="1160"/>
      <c r="X197" s="1160"/>
      <c r="Y197" s="1160"/>
      <c r="Z197" s="1160"/>
      <c r="AA197" s="1160"/>
      <c r="AB197" s="1632"/>
      <c r="AC197" s="566"/>
      <c r="AD197" s="566"/>
      <c r="AE197" s="566"/>
      <c r="AF197" s="566"/>
      <c r="AG197" s="1641">
        <v>11</v>
      </c>
    </row>
    <row r="198" s="1641" customFormat="1" ht="11.5" customHeight="1">
      <c r="A198" s="987"/>
      <c r="B198" s="1636"/>
      <c r="C198" s="1636"/>
      <c r="D198" s="351"/>
      <c r="J198" s="1641"/>
      <c r="L198" s="1160"/>
      <c r="M198" s="1636"/>
      <c r="N198" s="1636"/>
      <c r="O198" s="1160"/>
      <c r="P198" s="1160"/>
      <c r="Q198" s="1160"/>
      <c r="R198" s="1160"/>
      <c r="S198" s="1636"/>
      <c r="T198" s="1160"/>
      <c r="U198" s="1160"/>
      <c r="V198" s="544"/>
      <c r="W198" s="1160"/>
      <c r="X198" s="1160"/>
      <c r="Y198" s="1160"/>
      <c r="Z198" s="1160"/>
      <c r="AA198" s="1160"/>
      <c r="AB198" s="1632"/>
      <c r="AC198" s="566"/>
      <c r="AD198" s="566"/>
      <c r="AE198" s="566"/>
      <c r="AF198" s="566"/>
      <c r="AG198" s="1641">
        <v>11</v>
      </c>
    </row>
    <row r="199" s="1641" customFormat="1" ht="11.5" customHeight="1">
      <c r="A199" s="987"/>
      <c r="B199" s="1636"/>
      <c r="C199" s="1636"/>
      <c r="D199" s="351"/>
      <c r="J199" s="1641"/>
      <c r="L199" s="1160"/>
      <c r="M199" s="1636"/>
      <c r="N199" s="1636"/>
      <c r="O199" s="1160"/>
      <c r="P199" s="1160"/>
      <c r="Q199" s="1160"/>
      <c r="R199" s="1160"/>
      <c r="S199" s="1636"/>
      <c r="T199" s="1160"/>
      <c r="U199" s="1160"/>
      <c r="V199" s="544"/>
      <c r="W199" s="1160"/>
      <c r="X199" s="1160"/>
      <c r="Y199" s="1160"/>
      <c r="Z199" s="1160"/>
      <c r="AA199" s="1160"/>
      <c r="AB199" s="1632"/>
      <c r="AC199" s="566"/>
      <c r="AD199" s="566"/>
      <c r="AE199" s="566"/>
      <c r="AF199" s="566"/>
      <c r="AG199" s="1641">
        <v>11</v>
      </c>
    </row>
    <row r="200" s="1641" customFormat="1" ht="11.5" customHeight="1">
      <c r="A200" s="987"/>
      <c r="B200" s="1636"/>
      <c r="C200" s="1636"/>
      <c r="D200" s="351"/>
      <c r="J200" s="1641"/>
      <c r="L200" s="1160"/>
      <c r="M200" s="1636"/>
      <c r="N200" s="1636"/>
      <c r="O200" s="1160"/>
      <c r="P200" s="1160"/>
      <c r="Q200" s="1160"/>
      <c r="R200" s="1160"/>
      <c r="S200" s="1636"/>
      <c r="T200" s="1160"/>
      <c r="U200" s="1160"/>
      <c r="V200" s="544"/>
      <c r="W200" s="1160"/>
      <c r="X200" s="1160"/>
      <c r="Y200" s="1160"/>
      <c r="Z200" s="1160"/>
      <c r="AA200" s="1160"/>
      <c r="AB200" s="1632"/>
      <c r="AC200" s="566"/>
      <c r="AD200" s="566"/>
      <c r="AE200" s="566"/>
      <c r="AF200" s="566"/>
      <c r="AG200" s="1641">
        <v>11</v>
      </c>
    </row>
    <row r="201" s="1641" customFormat="1" ht="11.5" customHeight="1">
      <c r="A201" s="987"/>
      <c r="B201" s="1636"/>
      <c r="C201" s="1636"/>
      <c r="D201" s="351"/>
      <c r="J201" s="1641"/>
      <c r="L201" s="1160"/>
      <c r="M201" s="1636"/>
      <c r="N201" s="1636"/>
      <c r="O201" s="1160"/>
      <c r="P201" s="1160"/>
      <c r="Q201" s="1160"/>
      <c r="R201" s="1160"/>
      <c r="S201" s="1636"/>
      <c r="T201" s="1160"/>
      <c r="U201" s="1160"/>
      <c r="V201" s="544"/>
      <c r="W201" s="1160"/>
      <c r="X201" s="1160"/>
      <c r="Y201" s="1160"/>
      <c r="Z201" s="1160"/>
      <c r="AA201" s="1160"/>
      <c r="AB201" s="1632"/>
      <c r="AC201" s="566"/>
      <c r="AD201" s="566"/>
      <c r="AE201" s="566"/>
      <c r="AF201" s="566"/>
      <c r="AG201" s="1641">
        <v>11</v>
      </c>
    </row>
    <row r="202" s="1641" customFormat="1" ht="11.5" customHeight="1">
      <c r="A202" s="987"/>
      <c r="B202" s="1636"/>
      <c r="C202" s="1636"/>
      <c r="D202" s="351"/>
      <c r="J202" s="1641"/>
      <c r="L202" s="1160"/>
      <c r="M202" s="1636"/>
      <c r="N202" s="1636"/>
      <c r="O202" s="1160"/>
      <c r="P202" s="1160"/>
      <c r="Q202" s="1160"/>
      <c r="R202" s="1160"/>
      <c r="S202" s="1636"/>
      <c r="T202" s="1160"/>
      <c r="U202" s="1160"/>
      <c r="V202" s="544"/>
      <c r="W202" s="1160"/>
      <c r="X202" s="1160"/>
      <c r="Y202" s="1160"/>
      <c r="Z202" s="1160"/>
      <c r="AA202" s="1160"/>
      <c r="AB202" s="1632"/>
      <c r="AC202" s="566"/>
      <c r="AD202" s="566"/>
      <c r="AE202" s="566"/>
      <c r="AF202" s="566"/>
      <c r="AG202" s="1641">
        <v>11</v>
      </c>
    </row>
    <row r="203" s="1641" customFormat="1" ht="11.5" customHeight="1">
      <c r="A203" s="987"/>
      <c r="B203" s="1636"/>
      <c r="C203" s="1636"/>
      <c r="D203" s="351"/>
      <c r="J203" s="1641"/>
      <c r="L203" s="1160"/>
      <c r="M203" s="1636"/>
      <c r="N203" s="1636"/>
      <c r="O203" s="1160"/>
      <c r="P203" s="1160"/>
      <c r="Q203" s="1160"/>
      <c r="R203" s="1160"/>
      <c r="S203" s="1636"/>
      <c r="T203" s="1160"/>
      <c r="U203" s="1160"/>
      <c r="V203" s="544"/>
      <c r="W203" s="1160"/>
      <c r="X203" s="1160"/>
      <c r="Y203" s="1160"/>
      <c r="Z203" s="1160"/>
      <c r="AA203" s="1160"/>
      <c r="AB203" s="1632"/>
      <c r="AC203" s="566"/>
      <c r="AD203" s="566"/>
      <c r="AE203" s="566"/>
      <c r="AF203" s="566"/>
      <c r="AG203" s="1641">
        <v>11</v>
      </c>
    </row>
    <row r="204" s="1641" customFormat="1" ht="11.5" customHeight="1">
      <c r="A204" s="987"/>
      <c r="B204" s="1636"/>
      <c r="C204" s="1636"/>
      <c r="D204" s="351"/>
      <c r="J204" s="1641"/>
      <c r="L204" s="1160"/>
      <c r="M204" s="1636"/>
      <c r="N204" s="1636"/>
      <c r="O204" s="1160"/>
      <c r="P204" s="1160"/>
      <c r="Q204" s="1160"/>
      <c r="R204" s="1160"/>
      <c r="S204" s="1636"/>
      <c r="T204" s="1160"/>
      <c r="U204" s="1160"/>
      <c r="V204" s="544"/>
      <c r="W204" s="1160"/>
      <c r="X204" s="1160"/>
      <c r="Y204" s="1160"/>
      <c r="Z204" s="1160"/>
      <c r="AA204" s="1160"/>
      <c r="AB204" s="1632"/>
      <c r="AC204" s="566"/>
      <c r="AD204" s="566"/>
      <c r="AE204" s="566"/>
      <c r="AF204" s="566"/>
      <c r="AG204" s="1641">
        <v>11</v>
      </c>
    </row>
    <row r="205" s="1641" customFormat="1" ht="11.5" customHeight="1">
      <c r="A205" s="987"/>
      <c r="B205" s="1636"/>
      <c r="C205" s="1636"/>
      <c r="D205" s="351"/>
      <c r="J205" s="1641"/>
      <c r="L205" s="1160"/>
      <c r="M205" s="1636"/>
      <c r="N205" s="1636"/>
      <c r="O205" s="1160"/>
      <c r="P205" s="1160"/>
      <c r="Q205" s="1160"/>
      <c r="R205" s="1160"/>
      <c r="S205" s="1636"/>
      <c r="T205" s="1160"/>
      <c r="U205" s="1160"/>
      <c r="V205" s="544"/>
      <c r="W205" s="1160"/>
      <c r="X205" s="1160"/>
      <c r="Y205" s="1160"/>
      <c r="Z205" s="1160"/>
      <c r="AA205" s="1160"/>
      <c r="AB205" s="1632"/>
      <c r="AC205" s="566"/>
      <c r="AD205" s="566"/>
      <c r="AE205" s="566"/>
      <c r="AF205" s="566"/>
      <c r="AG205" s="1641">
        <v>11</v>
      </c>
    </row>
    <row r="206" s="1641" customFormat="1" ht="11.5" customHeight="1">
      <c r="A206" s="987"/>
      <c r="B206" s="1636"/>
      <c r="C206" s="1636"/>
      <c r="D206" s="351"/>
      <c r="J206" s="1641"/>
      <c r="L206" s="1160"/>
      <c r="M206" s="1636"/>
      <c r="N206" s="1636"/>
      <c r="O206" s="1160"/>
      <c r="P206" s="1160"/>
      <c r="Q206" s="1160"/>
      <c r="R206" s="1160"/>
      <c r="S206" s="1636"/>
      <c r="T206" s="1160"/>
      <c r="U206" s="1160"/>
      <c r="V206" s="544"/>
      <c r="W206" s="1160"/>
      <c r="X206" s="1160"/>
      <c r="Y206" s="1160"/>
      <c r="Z206" s="1160"/>
      <c r="AA206" s="1160"/>
      <c r="AB206" s="1632"/>
      <c r="AC206" s="566"/>
      <c r="AD206" s="566"/>
      <c r="AE206" s="566"/>
      <c r="AF206" s="566"/>
      <c r="AG206" s="1641">
        <v>11</v>
      </c>
    </row>
    <row r="207" s="1641" customFormat="1" ht="11.5" customHeight="1">
      <c r="A207" s="987"/>
      <c r="B207" s="1636"/>
      <c r="C207" s="1636"/>
      <c r="D207" s="351"/>
      <c r="J207" s="1641"/>
      <c r="L207" s="1160"/>
      <c r="M207" s="1636"/>
      <c r="N207" s="1636"/>
      <c r="O207" s="1160"/>
      <c r="P207" s="1160"/>
      <c r="Q207" s="1160"/>
      <c r="R207" s="1160"/>
      <c r="S207" s="1636"/>
      <c r="T207" s="1160"/>
      <c r="U207" s="1160"/>
      <c r="V207" s="544"/>
      <c r="W207" s="1160"/>
      <c r="X207" s="1160"/>
      <c r="Y207" s="1160"/>
      <c r="Z207" s="1160"/>
      <c r="AA207" s="1160"/>
      <c r="AB207" s="1632"/>
      <c r="AC207" s="566"/>
      <c r="AD207" s="566"/>
      <c r="AE207" s="566"/>
      <c r="AF207" s="566"/>
      <c r="AG207" s="1641">
        <v>11</v>
      </c>
    </row>
    <row r="208" s="1641" customFormat="1" ht="11.5" customHeight="1">
      <c r="A208" s="987"/>
      <c r="B208" s="1636"/>
      <c r="C208" s="1636"/>
      <c r="D208" s="351"/>
      <c r="J208" s="1641"/>
      <c r="L208" s="1160"/>
      <c r="M208" s="1636"/>
      <c r="N208" s="1636"/>
      <c r="O208" s="1160"/>
      <c r="P208" s="1160"/>
      <c r="Q208" s="1160"/>
      <c r="R208" s="1160"/>
      <c r="S208" s="1636"/>
      <c r="T208" s="1160"/>
      <c r="U208" s="1160"/>
      <c r="V208" s="544"/>
      <c r="W208" s="1160"/>
      <c r="X208" s="1160"/>
      <c r="Y208" s="1160"/>
      <c r="Z208" s="1160"/>
      <c r="AA208" s="1160"/>
      <c r="AB208" s="1632"/>
      <c r="AC208" s="566"/>
      <c r="AD208" s="566"/>
      <c r="AE208" s="566"/>
      <c r="AF208" s="566"/>
      <c r="AG208" s="1641">
        <v>11</v>
      </c>
    </row>
    <row r="209" s="1641" customFormat="1" ht="11.5" customHeight="1">
      <c r="A209" s="987"/>
      <c r="B209" s="1636"/>
      <c r="C209" s="1636"/>
      <c r="D209" s="351"/>
      <c r="J209" s="1641"/>
      <c r="L209" s="1160"/>
      <c r="M209" s="1636"/>
      <c r="N209" s="1636"/>
      <c r="O209" s="1160"/>
      <c r="P209" s="1160"/>
      <c r="Q209" s="1160"/>
      <c r="R209" s="1160"/>
      <c r="S209" s="1636"/>
      <c r="T209" s="1160"/>
      <c r="U209" s="1160"/>
      <c r="V209" s="544"/>
      <c r="W209" s="1160"/>
      <c r="X209" s="1160"/>
      <c r="Y209" s="1160"/>
      <c r="Z209" s="1160"/>
      <c r="AA209" s="1160"/>
      <c r="AB209" s="1632"/>
      <c r="AC209" s="566"/>
      <c r="AD209" s="566"/>
      <c r="AE209" s="566"/>
      <c r="AF209" s="566"/>
      <c r="AG209" s="1641">
        <v>11</v>
      </c>
    </row>
    <row r="210" s="1641" customFormat="1" ht="11.5" customHeight="1">
      <c r="A210" s="987"/>
      <c r="B210" s="1636"/>
      <c r="C210" s="1636"/>
      <c r="D210" s="351"/>
      <c r="J210" s="1641"/>
      <c r="L210" s="1160"/>
      <c r="M210" s="1636"/>
      <c r="N210" s="1636"/>
      <c r="O210" s="1160"/>
      <c r="P210" s="1160"/>
      <c r="Q210" s="1160"/>
      <c r="R210" s="1160"/>
      <c r="S210" s="1636"/>
      <c r="T210" s="1160"/>
      <c r="U210" s="1160"/>
      <c r="V210" s="544"/>
      <c r="W210" s="1160"/>
      <c r="X210" s="1160"/>
      <c r="Y210" s="1160"/>
      <c r="Z210" s="1160"/>
      <c r="AA210" s="1160"/>
      <c r="AB210" s="1632"/>
      <c r="AC210" s="566"/>
      <c r="AD210" s="566"/>
      <c r="AE210" s="566"/>
      <c r="AF210" s="566"/>
      <c r="AG210" s="1641">
        <v>11</v>
      </c>
    </row>
    <row r="211" s="1641" customFormat="1" ht="11.5" customHeight="1">
      <c r="A211" s="987"/>
      <c r="B211" s="1636"/>
      <c r="C211" s="1636"/>
      <c r="D211" s="351"/>
      <c r="J211" s="1641"/>
      <c r="L211" s="1160"/>
      <c r="M211" s="1636"/>
      <c r="N211" s="1636"/>
      <c r="O211" s="1160"/>
      <c r="P211" s="1160"/>
      <c r="Q211" s="1160"/>
      <c r="R211" s="1160"/>
      <c r="S211" s="1636"/>
      <c r="T211" s="1160"/>
      <c r="U211" s="1160"/>
      <c r="V211" s="544"/>
      <c r="W211" s="1160"/>
      <c r="X211" s="1160"/>
      <c r="Y211" s="1160"/>
      <c r="Z211" s="1160"/>
      <c r="AA211" s="1160"/>
      <c r="AB211" s="1632"/>
      <c r="AC211" s="566"/>
      <c r="AD211" s="566"/>
      <c r="AE211" s="566"/>
      <c r="AF211" s="566"/>
      <c r="AG211" s="1641">
        <v>11</v>
      </c>
    </row>
    <row r="212" s="1641" customFormat="1" ht="11.5" customHeight="1">
      <c r="A212" s="987"/>
      <c r="B212" s="1636"/>
      <c r="C212" s="1636"/>
      <c r="D212" s="351"/>
      <c r="J212" s="1641"/>
      <c r="L212" s="1160"/>
      <c r="M212" s="1636"/>
      <c r="N212" s="1636"/>
      <c r="O212" s="1160"/>
      <c r="P212" s="1160"/>
      <c r="Q212" s="1160"/>
      <c r="R212" s="1160"/>
      <c r="S212" s="1636"/>
      <c r="T212" s="1160"/>
      <c r="U212" s="1160"/>
      <c r="V212" s="544"/>
      <c r="W212" s="1160"/>
      <c r="X212" s="1160"/>
      <c r="Y212" s="1160"/>
      <c r="Z212" s="1160"/>
      <c r="AA212" s="1160"/>
      <c r="AB212" s="1632"/>
      <c r="AC212" s="566"/>
      <c r="AD212" s="566"/>
      <c r="AE212" s="566"/>
      <c r="AF212" s="566"/>
      <c r="AG212" s="1641">
        <v>11</v>
      </c>
    </row>
    <row r="213" s="1641" customFormat="1" ht="11.5" customHeight="1">
      <c r="A213" s="987"/>
      <c r="B213" s="1636"/>
      <c r="C213" s="1636"/>
      <c r="D213" s="351"/>
      <c r="J213" s="1641"/>
      <c r="L213" s="1160"/>
      <c r="M213" s="1636"/>
      <c r="N213" s="1636"/>
      <c r="O213" s="1160"/>
      <c r="P213" s="1160"/>
      <c r="Q213" s="1160"/>
      <c r="R213" s="1160"/>
      <c r="S213" s="1636"/>
      <c r="T213" s="1160"/>
      <c r="U213" s="1160"/>
      <c r="V213" s="544"/>
      <c r="W213" s="1160"/>
      <c r="X213" s="1160"/>
      <c r="Y213" s="1160"/>
      <c r="Z213" s="1160"/>
      <c r="AA213" s="1160"/>
      <c r="AB213" s="1632"/>
      <c r="AC213" s="566"/>
      <c r="AD213" s="566"/>
      <c r="AE213" s="566"/>
      <c r="AF213" s="566"/>
      <c r="AG213" s="1641">
        <v>11</v>
      </c>
    </row>
    <row r="214" s="1641" customFormat="1" ht="11.5" customHeight="1">
      <c r="A214" s="987"/>
      <c r="B214" s="1636"/>
      <c r="C214" s="1636"/>
      <c r="D214" s="351"/>
      <c r="J214" s="1641"/>
      <c r="L214" s="1160"/>
      <c r="M214" s="1636"/>
      <c r="N214" s="1636"/>
      <c r="O214" s="1160"/>
      <c r="P214" s="1160"/>
      <c r="Q214" s="1160"/>
      <c r="R214" s="1160"/>
      <c r="S214" s="1636"/>
      <c r="T214" s="1160"/>
      <c r="U214" s="1160"/>
      <c r="V214" s="544"/>
      <c r="W214" s="1160"/>
      <c r="X214" s="1160"/>
      <c r="Y214" s="1160"/>
      <c r="Z214" s="1160"/>
      <c r="AA214" s="1160"/>
      <c r="AB214" s="1632"/>
      <c r="AC214" s="566"/>
      <c r="AD214" s="566"/>
      <c r="AE214" s="566"/>
      <c r="AF214" s="566"/>
      <c r="AG214" s="1641">
        <v>11</v>
      </c>
    </row>
    <row r="215" s="1641" customFormat="1" ht="11.5" customHeight="1">
      <c r="A215" s="987"/>
      <c r="B215" s="1636"/>
      <c r="C215" s="1636"/>
      <c r="D215" s="351"/>
      <c r="J215" s="1641"/>
      <c r="L215" s="1160"/>
      <c r="M215" s="1636"/>
      <c r="N215" s="1636"/>
      <c r="O215" s="1160"/>
      <c r="P215" s="1160"/>
      <c r="Q215" s="1160"/>
      <c r="R215" s="1160"/>
      <c r="S215" s="1636"/>
      <c r="T215" s="1160"/>
      <c r="U215" s="1160"/>
      <c r="V215" s="544"/>
      <c r="W215" s="1160"/>
      <c r="X215" s="1160"/>
      <c r="Y215" s="1160"/>
      <c r="Z215" s="1160"/>
      <c r="AA215" s="1160"/>
      <c r="AB215" s="1632"/>
      <c r="AC215" s="566"/>
      <c r="AD215" s="566"/>
      <c r="AE215" s="566"/>
      <c r="AF215" s="566"/>
      <c r="AG215" s="1641">
        <v>11</v>
      </c>
    </row>
    <row r="216" s="1641" customFormat="1" ht="11.5" customHeight="1">
      <c r="A216" s="987"/>
      <c r="B216" s="1636"/>
      <c r="C216" s="1636"/>
      <c r="D216" s="351"/>
      <c r="J216" s="1641"/>
      <c r="L216" s="1160"/>
      <c r="M216" s="1636"/>
      <c r="N216" s="1636"/>
      <c r="O216" s="1160"/>
      <c r="P216" s="1160"/>
      <c r="Q216" s="1160"/>
      <c r="R216" s="1160"/>
      <c r="S216" s="1636"/>
      <c r="T216" s="1160"/>
      <c r="U216" s="1160"/>
      <c r="V216" s="544"/>
      <c r="W216" s="1160"/>
      <c r="X216" s="1160"/>
      <c r="Y216" s="1160"/>
      <c r="Z216" s="1160"/>
      <c r="AA216" s="1160"/>
      <c r="AB216" s="1632"/>
      <c r="AC216" s="566"/>
      <c r="AD216" s="566"/>
      <c r="AE216" s="566"/>
      <c r="AF216" s="566"/>
      <c r="AG216" s="1641">
        <v>11</v>
      </c>
    </row>
    <row r="217" s="1641" customFormat="1" ht="11.5" customHeight="1">
      <c r="A217" s="987"/>
      <c r="B217" s="1636"/>
      <c r="C217" s="1636"/>
      <c r="D217" s="351"/>
      <c r="J217" s="1641"/>
      <c r="L217" s="1160"/>
      <c r="M217" s="1636"/>
      <c r="N217" s="1636"/>
      <c r="O217" s="1160"/>
      <c r="P217" s="1160"/>
      <c r="Q217" s="1160"/>
      <c r="R217" s="1160"/>
      <c r="S217" s="1636"/>
      <c r="T217" s="1160"/>
      <c r="U217" s="1160"/>
      <c r="V217" s="544"/>
      <c r="W217" s="1160"/>
      <c r="X217" s="1160"/>
      <c r="Y217" s="1160"/>
      <c r="Z217" s="1160"/>
      <c r="AA217" s="1160"/>
      <c r="AB217" s="1632"/>
      <c r="AC217" s="566"/>
      <c r="AD217" s="566"/>
      <c r="AE217" s="566"/>
      <c r="AF217" s="566"/>
      <c r="AG217" s="1641">
        <v>11</v>
      </c>
    </row>
    <row r="218" s="1641" customFormat="1" ht="11.5" customHeight="1">
      <c r="A218" s="987"/>
      <c r="B218" s="1636"/>
      <c r="C218" s="1636"/>
      <c r="D218" s="351"/>
      <c r="J218" s="1641"/>
      <c r="L218" s="1160"/>
      <c r="M218" s="1636"/>
      <c r="N218" s="1636"/>
      <c r="O218" s="1160"/>
      <c r="P218" s="1160"/>
      <c r="Q218" s="1160"/>
      <c r="R218" s="1160"/>
      <c r="S218" s="1636"/>
      <c r="T218" s="1160"/>
      <c r="U218" s="1160"/>
      <c r="V218" s="544"/>
      <c r="W218" s="1160"/>
      <c r="X218" s="1160"/>
      <c r="Y218" s="1160"/>
      <c r="Z218" s="1160"/>
      <c r="AA218" s="1160"/>
      <c r="AB218" s="1632"/>
      <c r="AC218" s="566"/>
      <c r="AD218" s="566"/>
      <c r="AE218" s="566"/>
      <c r="AF218" s="566"/>
      <c r="AG218" s="1641">
        <v>11</v>
      </c>
    </row>
    <row r="219" s="1641" customFormat="1" ht="11.5" customHeight="1">
      <c r="A219" s="987"/>
      <c r="B219" s="1636"/>
      <c r="C219" s="1636"/>
      <c r="D219" s="351"/>
      <c r="J219" s="1641"/>
      <c r="L219" s="1160"/>
      <c r="M219" s="1636"/>
      <c r="N219" s="1636"/>
      <c r="O219" s="1160"/>
      <c r="P219" s="1160"/>
      <c r="Q219" s="1160"/>
      <c r="R219" s="1160"/>
      <c r="S219" s="1636"/>
      <c r="T219" s="1160"/>
      <c r="U219" s="1160"/>
      <c r="V219" s="544"/>
      <c r="W219" s="1160"/>
      <c r="X219" s="1160"/>
      <c r="Y219" s="1160"/>
      <c r="Z219" s="1160"/>
      <c r="AA219" s="1160"/>
      <c r="AB219" s="1632"/>
      <c r="AC219" s="566"/>
      <c r="AD219" s="566"/>
      <c r="AE219" s="566"/>
      <c r="AF219" s="566"/>
      <c r="AG219" s="1641">
        <v>11</v>
      </c>
    </row>
    <row r="220" s="1641" customFormat="1" ht="11.5" customHeight="1">
      <c r="A220" s="987"/>
      <c r="B220" s="1636"/>
      <c r="C220" s="1636"/>
      <c r="D220" s="351"/>
      <c r="J220" s="1641"/>
      <c r="L220" s="1160"/>
      <c r="M220" s="1636"/>
      <c r="N220" s="1636"/>
      <c r="O220" s="1160"/>
      <c r="P220" s="1160"/>
      <c r="Q220" s="1160"/>
      <c r="R220" s="1160"/>
      <c r="S220" s="1636"/>
      <c r="T220" s="1160"/>
      <c r="U220" s="1160"/>
      <c r="V220" s="544"/>
      <c r="W220" s="1160"/>
      <c r="X220" s="1160"/>
      <c r="Y220" s="1160"/>
      <c r="Z220" s="1160"/>
      <c r="AA220" s="1160"/>
      <c r="AB220" s="1632"/>
      <c r="AC220" s="566"/>
      <c r="AD220" s="566"/>
      <c r="AE220" s="566"/>
      <c r="AF220" s="566"/>
      <c r="AG220" s="1641">
        <v>11</v>
      </c>
    </row>
    <row r="221" s="1641" customFormat="1" ht="11.5" customHeight="1">
      <c r="A221" s="987"/>
      <c r="B221" s="1636"/>
      <c r="C221" s="1636"/>
      <c r="D221" s="351"/>
      <c r="J221" s="1641"/>
      <c r="L221" s="1160"/>
      <c r="M221" s="1636"/>
      <c r="N221" s="1636"/>
      <c r="O221" s="1160"/>
      <c r="P221" s="1160"/>
      <c r="Q221" s="1160"/>
      <c r="R221" s="1160"/>
      <c r="S221" s="1636"/>
      <c r="T221" s="1160"/>
      <c r="U221" s="1160"/>
      <c r="V221" s="544"/>
      <c r="W221" s="1160"/>
      <c r="X221" s="1160"/>
      <c r="Y221" s="1160"/>
      <c r="Z221" s="1160"/>
      <c r="AA221" s="1160"/>
      <c r="AB221" s="1632"/>
      <c r="AC221" s="566"/>
      <c r="AD221" s="566"/>
      <c r="AE221" s="566"/>
      <c r="AF221" s="566"/>
      <c r="AG221" s="1641">
        <v>11</v>
      </c>
    </row>
    <row r="222" s="1641" customFormat="1" ht="11.5" customHeight="1">
      <c r="A222" s="987"/>
      <c r="B222" s="1636"/>
      <c r="C222" s="1636"/>
      <c r="D222" s="351"/>
      <c r="J222" s="1641"/>
      <c r="L222" s="1160"/>
      <c r="M222" s="1636"/>
      <c r="N222" s="1636"/>
      <c r="O222" s="1160"/>
      <c r="P222" s="1160"/>
      <c r="Q222" s="1160"/>
      <c r="R222" s="1160"/>
      <c r="S222" s="1636"/>
      <c r="T222" s="1160"/>
      <c r="U222" s="1160"/>
      <c r="V222" s="544"/>
      <c r="W222" s="1160"/>
      <c r="X222" s="1160"/>
      <c r="Y222" s="1160"/>
      <c r="Z222" s="1160"/>
      <c r="AA222" s="1160"/>
      <c r="AB222" s="1632"/>
      <c r="AC222" s="566"/>
      <c r="AD222" s="566"/>
      <c r="AE222" s="566"/>
      <c r="AF222" s="566"/>
      <c r="AG222" s="1641">
        <v>11</v>
      </c>
    </row>
    <row r="223" s="1641" customFormat="1" ht="11.5" customHeight="1">
      <c r="A223" s="987"/>
      <c r="B223" s="1636"/>
      <c r="C223" s="1636"/>
      <c r="D223" s="351"/>
      <c r="J223" s="1641"/>
      <c r="L223" s="1160"/>
      <c r="M223" s="1636"/>
      <c r="N223" s="1636"/>
      <c r="O223" s="1160"/>
      <c r="P223" s="1160"/>
      <c r="Q223" s="1160"/>
      <c r="R223" s="1160"/>
      <c r="S223" s="1636"/>
      <c r="T223" s="1160"/>
      <c r="U223" s="1160"/>
      <c r="V223" s="544"/>
      <c r="W223" s="1160"/>
      <c r="X223" s="1160"/>
      <c r="Y223" s="1160"/>
      <c r="Z223" s="1160"/>
      <c r="AA223" s="1160"/>
      <c r="AB223" s="1632"/>
      <c r="AC223" s="566"/>
      <c r="AD223" s="566"/>
      <c r="AE223" s="566"/>
      <c r="AF223" s="566"/>
      <c r="AG223" s="1641">
        <v>11</v>
      </c>
    </row>
    <row r="224" s="1641" customFormat="1" ht="11.5" customHeight="1">
      <c r="A224" s="987"/>
      <c r="B224" s="1636"/>
      <c r="C224" s="1636"/>
      <c r="D224" s="351"/>
      <c r="J224" s="1641"/>
      <c r="L224" s="1160"/>
      <c r="M224" s="1636"/>
      <c r="N224" s="1636"/>
      <c r="O224" s="1160"/>
      <c r="P224" s="1160"/>
      <c r="Q224" s="1160"/>
      <c r="R224" s="1160"/>
      <c r="S224" s="1636"/>
      <c r="T224" s="1160"/>
      <c r="U224" s="1160"/>
      <c r="V224" s="544"/>
      <c r="W224" s="1160"/>
      <c r="X224" s="1160"/>
      <c r="Y224" s="1160"/>
      <c r="Z224" s="1160"/>
      <c r="AA224" s="1160"/>
      <c r="AB224" s="1632"/>
      <c r="AC224" s="566"/>
      <c r="AD224" s="566"/>
      <c r="AE224" s="566"/>
      <c r="AF224" s="566"/>
      <c r="AG224" s="1641">
        <v>11</v>
      </c>
    </row>
    <row r="225" s="1641" customFormat="1" ht="11.5" customHeight="1">
      <c r="A225" s="987"/>
      <c r="B225" s="1636"/>
      <c r="C225" s="1636"/>
      <c r="D225" s="351"/>
      <c r="J225" s="1641"/>
      <c r="L225" s="1160"/>
      <c r="M225" s="1636"/>
      <c r="N225" s="1636"/>
      <c r="O225" s="1160"/>
      <c r="P225" s="1160"/>
      <c r="Q225" s="1160"/>
      <c r="R225" s="1160"/>
      <c r="S225" s="1636"/>
      <c r="T225" s="1160"/>
      <c r="U225" s="1160"/>
      <c r="V225" s="544"/>
      <c r="W225" s="1160"/>
      <c r="X225" s="1160"/>
      <c r="Y225" s="1160"/>
      <c r="Z225" s="1160"/>
      <c r="AA225" s="1160"/>
      <c r="AB225" s="1632"/>
      <c r="AC225" s="566"/>
      <c r="AD225" s="566"/>
      <c r="AE225" s="566"/>
      <c r="AF225" s="566"/>
      <c r="AG225" s="1641">
        <v>11</v>
      </c>
    </row>
    <row r="226" s="1641" customFormat="1" ht="11.5" customHeight="1">
      <c r="A226" s="987"/>
      <c r="B226" s="1636"/>
      <c r="C226" s="1636"/>
      <c r="D226" s="351"/>
      <c r="J226" s="1641"/>
      <c r="L226" s="1160"/>
      <c r="M226" s="1636"/>
      <c r="N226" s="1636"/>
      <c r="O226" s="1160"/>
      <c r="P226" s="1160"/>
      <c r="Q226" s="1160"/>
      <c r="R226" s="1160"/>
      <c r="S226" s="1636"/>
      <c r="T226" s="1160"/>
      <c r="U226" s="1160"/>
      <c r="V226" s="544"/>
      <c r="W226" s="1160"/>
      <c r="X226" s="1160"/>
      <c r="Y226" s="1160"/>
      <c r="Z226" s="1160"/>
      <c r="AA226" s="1160"/>
      <c r="AB226" s="1632"/>
      <c r="AC226" s="566"/>
      <c r="AD226" s="566"/>
      <c r="AE226" s="566"/>
      <c r="AF226" s="566"/>
      <c r="AG226" s="1641">
        <v>11</v>
      </c>
    </row>
    <row r="227" s="1641" customFormat="1" ht="11.5" customHeight="1">
      <c r="A227" s="987"/>
      <c r="B227" s="1636"/>
      <c r="C227" s="1636"/>
      <c r="D227" s="351"/>
      <c r="J227" s="1641"/>
      <c r="L227" s="1160"/>
      <c r="M227" s="1636"/>
      <c r="N227" s="1636"/>
      <c r="O227" s="1160"/>
      <c r="P227" s="1160"/>
      <c r="Q227" s="1160"/>
      <c r="R227" s="1160"/>
      <c r="S227" s="1636"/>
      <c r="T227" s="1160"/>
      <c r="U227" s="1160"/>
      <c r="V227" s="544"/>
      <c r="W227" s="1160"/>
      <c r="X227" s="1160"/>
      <c r="Y227" s="1160"/>
      <c r="Z227" s="1160"/>
      <c r="AA227" s="1160"/>
      <c r="AB227" s="1632"/>
      <c r="AC227" s="566"/>
      <c r="AD227" s="566"/>
      <c r="AE227" s="566"/>
      <c r="AF227" s="566"/>
      <c r="AG227" s="1641">
        <v>11</v>
      </c>
    </row>
    <row r="228" s="1641" customFormat="1" ht="11.5" customHeight="1">
      <c r="A228" s="987"/>
      <c r="B228" s="1636"/>
      <c r="C228" s="1636"/>
      <c r="D228" s="351"/>
      <c r="J228" s="1641"/>
      <c r="L228" s="1160"/>
      <c r="M228" s="1636"/>
      <c r="N228" s="1636"/>
      <c r="O228" s="1160"/>
      <c r="P228" s="1160"/>
      <c r="Q228" s="1160"/>
      <c r="R228" s="1160"/>
      <c r="S228" s="1636"/>
      <c r="T228" s="1160"/>
      <c r="U228" s="1160"/>
      <c r="V228" s="544"/>
      <c r="W228" s="1160"/>
      <c r="X228" s="1160"/>
      <c r="Y228" s="1160"/>
      <c r="Z228" s="1160"/>
      <c r="AA228" s="1160"/>
      <c r="AB228" s="1632"/>
      <c r="AC228" s="566"/>
      <c r="AD228" s="566"/>
      <c r="AE228" s="566"/>
      <c r="AF228" s="566"/>
      <c r="AG228" s="1641">
        <v>11</v>
      </c>
    </row>
    <row r="229" s="1641" customFormat="1" ht="11.5" customHeight="1">
      <c r="A229" s="987"/>
      <c r="B229" s="1636"/>
      <c r="C229" s="1636"/>
      <c r="D229" s="351"/>
      <c r="J229" s="1641"/>
      <c r="L229" s="1160"/>
      <c r="M229" s="1636"/>
      <c r="N229" s="1636"/>
      <c r="O229" s="1160"/>
      <c r="P229" s="1160"/>
      <c r="Q229" s="1160"/>
      <c r="R229" s="1160"/>
      <c r="S229" s="1636"/>
      <c r="T229" s="1160"/>
      <c r="U229" s="1160"/>
      <c r="V229" s="544"/>
      <c r="W229" s="1160"/>
      <c r="X229" s="1160"/>
      <c r="Y229" s="1160"/>
      <c r="Z229" s="1160"/>
      <c r="AA229" s="1160"/>
      <c r="AB229" s="1632"/>
      <c r="AC229" s="566"/>
      <c r="AD229" s="566"/>
      <c r="AE229" s="566"/>
      <c r="AF229" s="566"/>
      <c r="AG229" s="1641">
        <v>11</v>
      </c>
    </row>
    <row r="230" s="1641" customFormat="1" ht="11.5" customHeight="1">
      <c r="A230" s="987"/>
      <c r="B230" s="1636"/>
      <c r="C230" s="1636"/>
      <c r="D230" s="351"/>
      <c r="J230" s="1641"/>
      <c r="L230" s="1160"/>
      <c r="M230" s="1636"/>
      <c r="N230" s="1636"/>
      <c r="O230" s="1160"/>
      <c r="P230" s="1160"/>
      <c r="Q230" s="1160"/>
      <c r="R230" s="1160"/>
      <c r="S230" s="1636"/>
      <c r="T230" s="1160"/>
      <c r="U230" s="1160"/>
      <c r="V230" s="544"/>
      <c r="W230" s="1160"/>
      <c r="X230" s="1160"/>
      <c r="Y230" s="1160"/>
      <c r="Z230" s="1160"/>
      <c r="AA230" s="1160"/>
      <c r="AB230" s="1632"/>
      <c r="AC230" s="566"/>
      <c r="AD230" s="566"/>
      <c r="AE230" s="566"/>
      <c r="AF230" s="566"/>
      <c r="AG230" s="1641">
        <v>11</v>
      </c>
    </row>
    <row r="231" s="1641" customFormat="1" ht="11.5" customHeight="1">
      <c r="A231" s="987"/>
      <c r="B231" s="1636"/>
      <c r="C231" s="1636"/>
      <c r="D231" s="351"/>
      <c r="J231" s="1641"/>
      <c r="L231" s="1160"/>
      <c r="M231" s="1636"/>
      <c r="N231" s="1636"/>
      <c r="O231" s="1160"/>
      <c r="P231" s="1160"/>
      <c r="Q231" s="1160"/>
      <c r="R231" s="1160"/>
      <c r="S231" s="1636"/>
      <c r="T231" s="1160"/>
      <c r="U231" s="1160"/>
      <c r="V231" s="544"/>
      <c r="W231" s="1160"/>
      <c r="X231" s="1160"/>
      <c r="Y231" s="1160"/>
      <c r="Z231" s="1160"/>
      <c r="AA231" s="1160"/>
      <c r="AB231" s="1632"/>
      <c r="AC231" s="566"/>
      <c r="AD231" s="566"/>
      <c r="AE231" s="566"/>
      <c r="AF231" s="566"/>
      <c r="AG231" s="1641">
        <v>11</v>
      </c>
    </row>
    <row r="232" s="1641" customFormat="1" ht="11.5" customHeight="1">
      <c r="A232" s="987"/>
      <c r="B232" s="1636"/>
      <c r="C232" s="1636"/>
      <c r="D232" s="351"/>
      <c r="J232" s="1641"/>
      <c r="L232" s="1160"/>
      <c r="M232" s="1636"/>
      <c r="N232" s="1636"/>
      <c r="O232" s="1160"/>
      <c r="P232" s="1160"/>
      <c r="Q232" s="1160"/>
      <c r="R232" s="1160"/>
      <c r="S232" s="1636"/>
      <c r="T232" s="1160"/>
      <c r="U232" s="1160"/>
      <c r="V232" s="544"/>
      <c r="W232" s="1160"/>
      <c r="X232" s="1160"/>
      <c r="Y232" s="1160"/>
      <c r="Z232" s="1160"/>
      <c r="AA232" s="1160"/>
      <c r="AB232" s="1632"/>
      <c r="AC232" s="566"/>
      <c r="AD232" s="566"/>
      <c r="AE232" s="566"/>
      <c r="AF232" s="566"/>
      <c r="AG232" s="1641">
        <v>11</v>
      </c>
    </row>
    <row r="233" s="1641" customFormat="1" ht="11.5" customHeight="1">
      <c r="A233" s="987"/>
      <c r="B233" s="1636"/>
      <c r="C233" s="1636"/>
      <c r="D233" s="351"/>
      <c r="J233" s="1641"/>
      <c r="L233" s="1160"/>
      <c r="M233" s="1636"/>
      <c r="N233" s="1636"/>
      <c r="O233" s="1160"/>
      <c r="P233" s="1160"/>
      <c r="Q233" s="1160"/>
      <c r="R233" s="1160"/>
      <c r="S233" s="1636"/>
      <c r="T233" s="1160"/>
      <c r="U233" s="1160"/>
      <c r="V233" s="544"/>
      <c r="W233" s="1160"/>
      <c r="X233" s="1160"/>
      <c r="Y233" s="1160"/>
      <c r="Z233" s="1160"/>
      <c r="AA233" s="1160"/>
      <c r="AB233" s="1632"/>
      <c r="AC233" s="566"/>
      <c r="AD233" s="566"/>
      <c r="AE233" s="566"/>
      <c r="AF233" s="566"/>
      <c r="AG233" s="1641">
        <v>11</v>
      </c>
    </row>
    <row r="234" s="1641" customFormat="1" ht="11.5" customHeight="1">
      <c r="A234" s="987"/>
      <c r="B234" s="1636"/>
      <c r="C234" s="1636"/>
      <c r="D234" s="351"/>
      <c r="J234" s="1641"/>
      <c r="L234" s="1160"/>
      <c r="M234" s="1636"/>
      <c r="N234" s="1636"/>
      <c r="O234" s="1160"/>
      <c r="P234" s="1160"/>
      <c r="Q234" s="1160"/>
      <c r="R234" s="1160"/>
      <c r="S234" s="1636"/>
      <c r="T234" s="1160"/>
      <c r="U234" s="1160"/>
      <c r="V234" s="544"/>
      <c r="W234" s="1160"/>
      <c r="X234" s="1160"/>
      <c r="Y234" s="1160"/>
      <c r="Z234" s="1160"/>
      <c r="AA234" s="1160"/>
      <c r="AB234" s="1632"/>
      <c r="AC234" s="566"/>
      <c r="AD234" s="566"/>
      <c r="AE234" s="566"/>
      <c r="AF234" s="566"/>
      <c r="AG234" s="1641">
        <v>11</v>
      </c>
    </row>
    <row r="235" s="1641" customFormat="1" ht="11.5" customHeight="1">
      <c r="A235" s="987"/>
      <c r="B235" s="1636"/>
      <c r="C235" s="1636"/>
      <c r="D235" s="351"/>
      <c r="J235" s="1641"/>
      <c r="L235" s="1160"/>
      <c r="M235" s="1636"/>
      <c r="N235" s="1636"/>
      <c r="O235" s="1160"/>
      <c r="P235" s="1160"/>
      <c r="Q235" s="1160"/>
      <c r="R235" s="1160"/>
      <c r="S235" s="1636"/>
      <c r="T235" s="1160"/>
      <c r="U235" s="1160"/>
      <c r="V235" s="544"/>
      <c r="W235" s="1160"/>
      <c r="X235" s="1160"/>
      <c r="Y235" s="1160"/>
      <c r="Z235" s="1160"/>
      <c r="AA235" s="1160"/>
      <c r="AB235" s="1632"/>
      <c r="AC235" s="566"/>
      <c r="AD235" s="566"/>
      <c r="AE235" s="566"/>
      <c r="AF235" s="566"/>
      <c r="AG235" s="1641">
        <v>11</v>
      </c>
    </row>
    <row r="236" s="1641" customFormat="1" ht="11.5" customHeight="1">
      <c r="A236" s="987"/>
      <c r="B236" s="1636"/>
      <c r="C236" s="1636"/>
      <c r="D236" s="351"/>
      <c r="J236" s="1641"/>
      <c r="L236" s="1160"/>
      <c r="M236" s="1636"/>
      <c r="N236" s="1636"/>
      <c r="O236" s="1160"/>
      <c r="P236" s="1160"/>
      <c r="Q236" s="1160"/>
      <c r="R236" s="1160"/>
      <c r="S236" s="1636"/>
      <c r="T236" s="1160"/>
      <c r="U236" s="1160"/>
      <c r="V236" s="544"/>
      <c r="W236" s="1160"/>
      <c r="X236" s="1160"/>
      <c r="Y236" s="1160"/>
      <c r="Z236" s="1160"/>
      <c r="AA236" s="1160"/>
      <c r="AB236" s="1632"/>
      <c r="AC236" s="566"/>
      <c r="AD236" s="566"/>
      <c r="AE236" s="566"/>
      <c r="AF236" s="566"/>
      <c r="AG236" s="1641">
        <v>11</v>
      </c>
    </row>
    <row r="237" s="1641" customFormat="1" ht="11.5" customHeight="1">
      <c r="A237" s="987"/>
      <c r="B237" s="1636"/>
      <c r="C237" s="1636"/>
      <c r="D237" s="351"/>
      <c r="J237" s="1641"/>
      <c r="L237" s="1160"/>
      <c r="M237" s="1636"/>
      <c r="N237" s="1636"/>
      <c r="O237" s="1160"/>
      <c r="P237" s="1160"/>
      <c r="Q237" s="1160"/>
      <c r="R237" s="1160"/>
      <c r="S237" s="1636"/>
      <c r="T237" s="1160"/>
      <c r="U237" s="1160"/>
      <c r="V237" s="544"/>
      <c r="W237" s="1160"/>
      <c r="X237" s="1160"/>
      <c r="Y237" s="1160"/>
      <c r="Z237" s="1160"/>
      <c r="AA237" s="1160"/>
      <c r="AB237" s="1632"/>
      <c r="AC237" s="566"/>
      <c r="AD237" s="566"/>
      <c r="AE237" s="566"/>
      <c r="AF237" s="566"/>
      <c r="AG237" s="1641">
        <v>11</v>
      </c>
    </row>
    <row r="238" s="1641" customFormat="1" ht="11.5" customHeight="1">
      <c r="A238" s="987"/>
      <c r="B238" s="1636"/>
      <c r="C238" s="1636"/>
      <c r="D238" s="351"/>
      <c r="J238" s="1641"/>
      <c r="L238" s="1160"/>
      <c r="M238" s="1636"/>
      <c r="N238" s="1636"/>
      <c r="O238" s="1160"/>
      <c r="P238" s="1160"/>
      <c r="Q238" s="1160"/>
      <c r="R238" s="1160"/>
      <c r="S238" s="1636"/>
      <c r="T238" s="1160"/>
      <c r="U238" s="1160"/>
      <c r="V238" s="544"/>
      <c r="W238" s="1160"/>
      <c r="X238" s="1160"/>
      <c r="Y238" s="1160"/>
      <c r="Z238" s="1160"/>
      <c r="AA238" s="1160"/>
      <c r="AB238" s="1632"/>
      <c r="AC238" s="566"/>
      <c r="AD238" s="566"/>
      <c r="AE238" s="566"/>
      <c r="AF238" s="566"/>
      <c r="AG238" s="1641">
        <v>11</v>
      </c>
    </row>
    <row r="239" s="1641" customFormat="1" ht="11.5" customHeight="1">
      <c r="A239" s="987"/>
      <c r="B239" s="1636"/>
      <c r="C239" s="1636"/>
      <c r="D239" s="351"/>
      <c r="J239" s="1641"/>
      <c r="L239" s="1160"/>
      <c r="M239" s="1636"/>
      <c r="N239" s="1636"/>
      <c r="O239" s="1160"/>
      <c r="P239" s="1160"/>
      <c r="Q239" s="1160"/>
      <c r="R239" s="1160"/>
      <c r="S239" s="1636"/>
      <c r="T239" s="1160"/>
      <c r="U239" s="1160"/>
      <c r="V239" s="544"/>
      <c r="W239" s="1160"/>
      <c r="X239" s="1160"/>
      <c r="Y239" s="1160"/>
      <c r="Z239" s="1160"/>
      <c r="AA239" s="1160"/>
      <c r="AB239" s="1632"/>
      <c r="AC239" s="566"/>
      <c r="AD239" s="566"/>
      <c r="AE239" s="566"/>
      <c r="AF239" s="566"/>
      <c r="AG239" s="1641">
        <v>11</v>
      </c>
    </row>
    <row r="240" s="1641" customFormat="1" ht="11.5" customHeight="1">
      <c r="A240" s="987"/>
      <c r="B240" s="1636"/>
      <c r="C240" s="1636"/>
      <c r="D240" s="351"/>
      <c r="J240" s="1641"/>
      <c r="L240" s="1160"/>
      <c r="M240" s="1636"/>
      <c r="N240" s="1636"/>
      <c r="O240" s="1160"/>
      <c r="P240" s="1160"/>
      <c r="Q240" s="1160"/>
      <c r="R240" s="1160"/>
      <c r="S240" s="1636"/>
      <c r="T240" s="1160"/>
      <c r="U240" s="1160"/>
      <c r="V240" s="544"/>
      <c r="W240" s="1160"/>
      <c r="X240" s="1160"/>
      <c r="Y240" s="1160"/>
      <c r="Z240" s="1160"/>
      <c r="AA240" s="1160"/>
      <c r="AB240" s="1632"/>
      <c r="AC240" s="566"/>
      <c r="AD240" s="566"/>
      <c r="AE240" s="566"/>
      <c r="AF240" s="566"/>
      <c r="AG240" s="1641">
        <v>11</v>
      </c>
    </row>
    <row r="241" s="1641" customFormat="1" ht="11.5" customHeight="1">
      <c r="A241" s="987"/>
      <c r="B241" s="1636"/>
      <c r="C241" s="1636"/>
      <c r="D241" s="351"/>
      <c r="J241" s="1641"/>
      <c r="L241" s="1160"/>
      <c r="M241" s="1636"/>
      <c r="N241" s="1636"/>
      <c r="O241" s="1160"/>
      <c r="P241" s="1160"/>
      <c r="Q241" s="1160"/>
      <c r="R241" s="1160"/>
      <c r="S241" s="1636"/>
      <c r="T241" s="1160"/>
      <c r="U241" s="1160"/>
      <c r="V241" s="544"/>
      <c r="W241" s="1160"/>
      <c r="X241" s="1160"/>
      <c r="Y241" s="1160"/>
      <c r="Z241" s="1160"/>
      <c r="AA241" s="1160"/>
      <c r="AB241" s="1632"/>
      <c r="AC241" s="566"/>
      <c r="AD241" s="566"/>
      <c r="AE241" s="566"/>
      <c r="AF241" s="566"/>
      <c r="AG241" s="1641">
        <v>11</v>
      </c>
    </row>
    <row r="242" s="1641" customFormat="1" ht="11.5" customHeight="1">
      <c r="A242" s="987"/>
      <c r="B242" s="1636"/>
      <c r="C242" s="1636"/>
      <c r="D242" s="351"/>
      <c r="J242" s="1641"/>
      <c r="L242" s="1160"/>
      <c r="M242" s="1636"/>
      <c r="N242" s="1636"/>
      <c r="O242" s="1160"/>
      <c r="P242" s="1160"/>
      <c r="Q242" s="1160"/>
      <c r="R242" s="1160"/>
      <c r="S242" s="1636"/>
      <c r="T242" s="1160"/>
      <c r="U242" s="1160"/>
      <c r="V242" s="544"/>
      <c r="W242" s="1160"/>
      <c r="X242" s="1160"/>
      <c r="Y242" s="1160"/>
      <c r="Z242" s="1160"/>
      <c r="AA242" s="1160"/>
      <c r="AB242" s="1632"/>
      <c r="AC242" s="566"/>
      <c r="AD242" s="566"/>
      <c r="AE242" s="566"/>
      <c r="AF242" s="566"/>
      <c r="AG242" s="1641">
        <v>11</v>
      </c>
    </row>
    <row r="243" s="1641" customFormat="1" ht="11.5" customHeight="1">
      <c r="A243" s="987"/>
      <c r="B243" s="1636"/>
      <c r="C243" s="1636"/>
      <c r="D243" s="351"/>
      <c r="J243" s="1641"/>
      <c r="L243" s="1160"/>
      <c r="M243" s="1636"/>
      <c r="N243" s="1636"/>
      <c r="O243" s="1160"/>
      <c r="P243" s="1160"/>
      <c r="Q243" s="1160"/>
      <c r="R243" s="1160"/>
      <c r="S243" s="1636"/>
      <c r="T243" s="1160"/>
      <c r="U243" s="1160"/>
      <c r="V243" s="544"/>
      <c r="W243" s="1160"/>
      <c r="X243" s="1160"/>
      <c r="Y243" s="1160"/>
      <c r="Z243" s="1160"/>
      <c r="AA243" s="1160"/>
      <c r="AB243" s="1632"/>
      <c r="AC243" s="566"/>
      <c r="AD243" s="566"/>
      <c r="AE243" s="566"/>
      <c r="AF243" s="566"/>
      <c r="AG243" s="1641">
        <v>11</v>
      </c>
    </row>
    <row r="244" s="1641" customFormat="1" ht="11.5" customHeight="1">
      <c r="A244" s="987"/>
      <c r="B244" s="1636"/>
      <c r="C244" s="1636"/>
      <c r="D244" s="351"/>
      <c r="J244" s="1641"/>
      <c r="L244" s="1160"/>
      <c r="M244" s="1636"/>
      <c r="N244" s="1636"/>
      <c r="O244" s="1160"/>
      <c r="P244" s="1160"/>
      <c r="Q244" s="1160"/>
      <c r="R244" s="1160"/>
      <c r="S244" s="1636"/>
      <c r="T244" s="1160"/>
      <c r="U244" s="1160"/>
      <c r="V244" s="544"/>
      <c r="W244" s="1160"/>
      <c r="X244" s="1160"/>
      <c r="Y244" s="1160"/>
      <c r="Z244" s="1160"/>
      <c r="AA244" s="1160"/>
      <c r="AB244" s="1632"/>
      <c r="AC244" s="566"/>
      <c r="AD244" s="566"/>
      <c r="AE244" s="566"/>
      <c r="AF244" s="566"/>
      <c r="AG244" s="1641">
        <v>11</v>
      </c>
    </row>
    <row r="245" s="1641" customFormat="1" ht="11.5" customHeight="1">
      <c r="A245" s="987"/>
      <c r="B245" s="1636"/>
      <c r="C245" s="1636"/>
      <c r="D245" s="351"/>
      <c r="J245" s="1641"/>
      <c r="L245" s="1160"/>
      <c r="M245" s="1636"/>
      <c r="N245" s="1636"/>
      <c r="O245" s="1160"/>
      <c r="P245" s="1160"/>
      <c r="Q245" s="1160"/>
      <c r="R245" s="1160"/>
      <c r="S245" s="1636"/>
      <c r="T245" s="1160"/>
      <c r="U245" s="1160"/>
      <c r="V245" s="544"/>
      <c r="W245" s="1160"/>
      <c r="X245" s="1160"/>
      <c r="Y245" s="1160"/>
      <c r="Z245" s="1160"/>
      <c r="AA245" s="1160"/>
      <c r="AB245" s="1632"/>
      <c r="AC245" s="566"/>
      <c r="AD245" s="566"/>
      <c r="AE245" s="566"/>
      <c r="AF245" s="566"/>
      <c r="AG245" s="1641">
        <v>11</v>
      </c>
    </row>
    <row r="246" s="1641" customFormat="1" ht="11.5" customHeight="1">
      <c r="A246" s="987"/>
      <c r="B246" s="1636"/>
      <c r="C246" s="1636"/>
      <c r="D246" s="351"/>
      <c r="J246" s="1641"/>
      <c r="L246" s="1160"/>
      <c r="M246" s="1636"/>
      <c r="N246" s="1636"/>
      <c r="O246" s="1160"/>
      <c r="P246" s="1160"/>
      <c r="Q246" s="1160"/>
      <c r="R246" s="1160"/>
      <c r="S246" s="1636"/>
      <c r="T246" s="1160"/>
      <c r="U246" s="1160"/>
      <c r="V246" s="544"/>
      <c r="W246" s="1160"/>
      <c r="X246" s="1160"/>
      <c r="Y246" s="1160"/>
      <c r="Z246" s="1160"/>
      <c r="AA246" s="1160"/>
      <c r="AB246" s="1632"/>
      <c r="AC246" s="566"/>
      <c r="AD246" s="566"/>
      <c r="AE246" s="566"/>
      <c r="AF246" s="566"/>
      <c r="AG246" s="1641">
        <v>11</v>
      </c>
    </row>
    <row r="247" s="1641" customFormat="1" ht="11.5" customHeight="1">
      <c r="A247" s="987"/>
      <c r="B247" s="1636"/>
      <c r="C247" s="1636"/>
      <c r="D247" s="351"/>
      <c r="J247" s="1641"/>
      <c r="L247" s="1160"/>
      <c r="M247" s="1636"/>
      <c r="N247" s="1636"/>
      <c r="O247" s="1160"/>
      <c r="P247" s="1160"/>
      <c r="Q247" s="1160"/>
      <c r="R247" s="1160"/>
      <c r="S247" s="1636"/>
      <c r="T247" s="1160"/>
      <c r="U247" s="1160"/>
      <c r="V247" s="544"/>
      <c r="W247" s="1160"/>
      <c r="X247" s="1160"/>
      <c r="Y247" s="1160"/>
      <c r="Z247" s="1160"/>
      <c r="AA247" s="1160"/>
      <c r="AB247" s="1632"/>
      <c r="AC247" s="566"/>
      <c r="AD247" s="566"/>
      <c r="AE247" s="566"/>
      <c r="AF247" s="566"/>
      <c r="AG247" s="1641">
        <v>11</v>
      </c>
    </row>
    <row r="248" s="1641" customFormat="1" ht="11.5" customHeight="1">
      <c r="A248" s="987"/>
      <c r="B248" s="1636"/>
      <c r="C248" s="1636"/>
      <c r="D248" s="351"/>
      <c r="J248" s="1641"/>
      <c r="L248" s="1160"/>
      <c r="M248" s="1636"/>
      <c r="N248" s="1636"/>
      <c r="O248" s="1160"/>
      <c r="P248" s="1160"/>
      <c r="Q248" s="1160"/>
      <c r="R248" s="1160"/>
      <c r="S248" s="1636"/>
      <c r="T248" s="1160"/>
      <c r="U248" s="1160"/>
      <c r="V248" s="544"/>
      <c r="W248" s="1160"/>
      <c r="X248" s="1160"/>
      <c r="Y248" s="1160"/>
      <c r="Z248" s="1160"/>
      <c r="AA248" s="1160"/>
      <c r="AB248" s="1632"/>
      <c r="AC248" s="566"/>
      <c r="AD248" s="566"/>
      <c r="AE248" s="566"/>
      <c r="AF248" s="566"/>
      <c r="AG248" s="1641">
        <v>11</v>
      </c>
    </row>
    <row r="249" s="1641" customFormat="1" ht="11.5" customHeight="1">
      <c r="A249" s="987"/>
      <c r="B249" s="1636"/>
      <c r="C249" s="1636"/>
      <c r="D249" s="351"/>
      <c r="J249" s="1641"/>
      <c r="L249" s="1160"/>
      <c r="M249" s="1636"/>
      <c r="N249" s="1636"/>
      <c r="O249" s="1160"/>
      <c r="P249" s="1160"/>
      <c r="Q249" s="1160"/>
      <c r="R249" s="1160"/>
      <c r="S249" s="1636"/>
      <c r="T249" s="1160"/>
      <c r="U249" s="1160"/>
      <c r="V249" s="544"/>
      <c r="W249" s="1160"/>
      <c r="X249" s="1160"/>
      <c r="Y249" s="1160"/>
      <c r="Z249" s="1160"/>
      <c r="AA249" s="1160"/>
      <c r="AB249" s="1632"/>
      <c r="AC249" s="566"/>
      <c r="AD249" s="566"/>
      <c r="AE249" s="566"/>
      <c r="AF249" s="566"/>
      <c r="AG249" s="1641">
        <v>11</v>
      </c>
    </row>
    <row r="250" s="1641" customFormat="1" ht="11.5" customHeight="1">
      <c r="A250" s="987"/>
      <c r="B250" s="1636"/>
      <c r="C250" s="1636"/>
      <c r="D250" s="351"/>
      <c r="J250" s="1641"/>
      <c r="L250" s="1160"/>
      <c r="M250" s="1636"/>
      <c r="N250" s="1636"/>
      <c r="O250" s="1160"/>
      <c r="P250" s="1160"/>
      <c r="Q250" s="1160"/>
      <c r="R250" s="1160"/>
      <c r="S250" s="1636"/>
      <c r="T250" s="1160"/>
      <c r="U250" s="1160"/>
      <c r="V250" s="544"/>
      <c r="W250" s="1160"/>
      <c r="X250" s="1160"/>
      <c r="Y250" s="1160"/>
      <c r="Z250" s="1160"/>
      <c r="AA250" s="1160"/>
      <c r="AB250" s="1632"/>
      <c r="AC250" s="566"/>
      <c r="AD250" s="566"/>
      <c r="AE250" s="566"/>
      <c r="AF250" s="566"/>
      <c r="AG250" s="1641">
        <v>11</v>
      </c>
    </row>
    <row r="251" s="1641" customFormat="1" ht="11.5" customHeight="1">
      <c r="A251" s="987"/>
      <c r="B251" s="1636"/>
      <c r="C251" s="1636"/>
      <c r="D251" s="351"/>
      <c r="J251" s="1641"/>
      <c r="L251" s="1160"/>
      <c r="M251" s="1636"/>
      <c r="N251" s="1636"/>
      <c r="O251" s="1160"/>
      <c r="P251" s="1160"/>
      <c r="Q251" s="1160"/>
      <c r="R251" s="1160"/>
      <c r="S251" s="1636"/>
      <c r="T251" s="1160"/>
      <c r="U251" s="1160"/>
      <c r="V251" s="544"/>
      <c r="W251" s="1160"/>
      <c r="X251" s="1160"/>
      <c r="Y251" s="1160"/>
      <c r="Z251" s="1160"/>
      <c r="AA251" s="1160"/>
      <c r="AB251" s="1632"/>
      <c r="AC251" s="566"/>
      <c r="AD251" s="566"/>
      <c r="AE251" s="566"/>
      <c r="AF251" s="566"/>
      <c r="AG251" s="1641">
        <v>11</v>
      </c>
    </row>
    <row r="252" s="1641" customFormat="1" ht="11.5" customHeight="1">
      <c r="A252" s="987"/>
      <c r="B252" s="1636"/>
      <c r="C252" s="1636"/>
      <c r="D252" s="351"/>
      <c r="J252" s="1641"/>
      <c r="L252" s="1160"/>
      <c r="M252" s="1636"/>
      <c r="N252" s="1636"/>
      <c r="O252" s="1160"/>
      <c r="P252" s="1160"/>
      <c r="Q252" s="1160"/>
      <c r="R252" s="1160"/>
      <c r="S252" s="1636"/>
      <c r="T252" s="1160"/>
      <c r="U252" s="1160"/>
      <c r="V252" s="544"/>
      <c r="W252" s="1160"/>
      <c r="X252" s="1160"/>
      <c r="Y252" s="1160"/>
      <c r="Z252" s="1160"/>
      <c r="AA252" s="1160"/>
      <c r="AB252" s="1632"/>
      <c r="AC252" s="566"/>
      <c r="AD252" s="566"/>
      <c r="AE252" s="566"/>
      <c r="AF252" s="566"/>
      <c r="AG252" s="1641">
        <v>11</v>
      </c>
    </row>
    <row r="253" s="1641" customFormat="1" ht="11.5" customHeight="1">
      <c r="A253" s="987"/>
      <c r="B253" s="1636"/>
      <c r="C253" s="1636"/>
      <c r="D253" s="351"/>
      <c r="J253" s="1641"/>
      <c r="L253" s="1160"/>
      <c r="M253" s="1636"/>
      <c r="N253" s="1636"/>
      <c r="O253" s="1160"/>
      <c r="P253" s="1160"/>
      <c r="Q253" s="1160"/>
      <c r="R253" s="1160"/>
      <c r="S253" s="1636"/>
      <c r="T253" s="1160"/>
      <c r="U253" s="1160"/>
      <c r="V253" s="544"/>
      <c r="W253" s="1160"/>
      <c r="X253" s="1160"/>
      <c r="Y253" s="1160"/>
      <c r="Z253" s="1160"/>
      <c r="AA253" s="1160"/>
      <c r="AB253" s="1632"/>
      <c r="AC253" s="566"/>
      <c r="AD253" s="566"/>
      <c r="AE253" s="566"/>
      <c r="AF253" s="566"/>
      <c r="AG253" s="1641">
        <v>11</v>
      </c>
    </row>
    <row r="254" s="1641" customFormat="1" ht="11.5" customHeight="1">
      <c r="A254" s="987"/>
      <c r="B254" s="1636"/>
      <c r="C254" s="1636"/>
      <c r="D254" s="351"/>
      <c r="J254" s="1641"/>
      <c r="L254" s="1160"/>
      <c r="M254" s="1636"/>
      <c r="N254" s="1636"/>
      <c r="O254" s="1160"/>
      <c r="P254" s="1160"/>
      <c r="Q254" s="1160"/>
      <c r="R254" s="1160"/>
      <c r="S254" s="1636"/>
      <c r="T254" s="1160"/>
      <c r="U254" s="1160"/>
      <c r="V254" s="544"/>
      <c r="W254" s="1160"/>
      <c r="X254" s="1160"/>
      <c r="Y254" s="1160"/>
      <c r="Z254" s="1160"/>
      <c r="AA254" s="1160"/>
      <c r="AB254" s="1632"/>
      <c r="AC254" s="566"/>
      <c r="AD254" s="566"/>
      <c r="AE254" s="566"/>
      <c r="AF254" s="566"/>
      <c r="AG254" s="1641">
        <v>11</v>
      </c>
    </row>
    <row r="255" s="1641" customFormat="1" ht="11.5" customHeight="1">
      <c r="A255" s="987"/>
      <c r="B255" s="1636"/>
      <c r="C255" s="1636"/>
      <c r="D255" s="351"/>
      <c r="J255" s="1641"/>
      <c r="L255" s="1160"/>
      <c r="M255" s="1636"/>
      <c r="N255" s="1636"/>
      <c r="O255" s="1160"/>
      <c r="P255" s="1160"/>
      <c r="Q255" s="1160"/>
      <c r="R255" s="1160"/>
      <c r="S255" s="1636"/>
      <c r="T255" s="1160"/>
      <c r="U255" s="1160"/>
      <c r="V255" s="544"/>
      <c r="W255" s="1160"/>
      <c r="X255" s="1160"/>
      <c r="Y255" s="1160"/>
      <c r="Z255" s="1160"/>
      <c r="AA255" s="1160"/>
      <c r="AB255" s="1632"/>
      <c r="AC255" s="566"/>
      <c r="AD255" s="566"/>
      <c r="AE255" s="566"/>
      <c r="AF255" s="566"/>
      <c r="AG255" s="1641">
        <v>11</v>
      </c>
    </row>
    <row r="256" s="1641" customFormat="1" ht="11.5" customHeight="1">
      <c r="A256" s="987"/>
      <c r="B256" s="1636"/>
      <c r="C256" s="1636"/>
      <c r="D256" s="351"/>
      <c r="J256" s="1641"/>
      <c r="L256" s="1160"/>
      <c r="M256" s="1636"/>
      <c r="N256" s="1636"/>
      <c r="O256" s="1160"/>
      <c r="P256" s="1160"/>
      <c r="Q256" s="1160"/>
      <c r="R256" s="1160"/>
      <c r="S256" s="1636"/>
      <c r="T256" s="1160"/>
      <c r="U256" s="1160"/>
      <c r="V256" s="544"/>
      <c r="W256" s="1160"/>
      <c r="X256" s="1160"/>
      <c r="Y256" s="1160"/>
      <c r="Z256" s="1160"/>
      <c r="AA256" s="1160"/>
      <c r="AB256" s="1632"/>
      <c r="AC256" s="566"/>
      <c r="AD256" s="566"/>
      <c r="AE256" s="566"/>
      <c r="AF256" s="566"/>
      <c r="AG256" s="1641">
        <v>11</v>
      </c>
    </row>
    <row r="257" s="1641" customFormat="1" ht="11.5" customHeight="1">
      <c r="A257" s="987"/>
      <c r="B257" s="1636"/>
      <c r="C257" s="1636"/>
      <c r="D257" s="351"/>
      <c r="J257" s="1641"/>
      <c r="L257" s="1160"/>
      <c r="M257" s="1636"/>
      <c r="N257" s="1636"/>
      <c r="O257" s="1160"/>
      <c r="P257" s="1160"/>
      <c r="Q257" s="1160"/>
      <c r="R257" s="1160"/>
      <c r="S257" s="1636"/>
      <c r="T257" s="1160"/>
      <c r="U257" s="1160"/>
      <c r="V257" s="544"/>
      <c r="W257" s="1160"/>
      <c r="X257" s="1160"/>
      <c r="Y257" s="1160"/>
      <c r="Z257" s="1160"/>
      <c r="AA257" s="1160"/>
      <c r="AB257" s="1632"/>
      <c r="AC257" s="566"/>
      <c r="AD257" s="566"/>
      <c r="AE257" s="566"/>
      <c r="AF257" s="566"/>
      <c r="AG257" s="1641">
        <v>11</v>
      </c>
    </row>
    <row r="258" s="1641" customFormat="1" ht="11.5" customHeight="1">
      <c r="A258" s="987"/>
      <c r="B258" s="1636"/>
      <c r="C258" s="1636"/>
      <c r="D258" s="351"/>
      <c r="J258" s="1641"/>
      <c r="L258" s="1160"/>
      <c r="M258" s="1636"/>
      <c r="N258" s="1636"/>
      <c r="O258" s="1160"/>
      <c r="P258" s="1160"/>
      <c r="Q258" s="1160"/>
      <c r="R258" s="1160"/>
      <c r="S258" s="1636"/>
      <c r="T258" s="1160"/>
      <c r="U258" s="1160"/>
      <c r="V258" s="544"/>
      <c r="W258" s="1160"/>
      <c r="X258" s="1160"/>
      <c r="Y258" s="1160"/>
      <c r="Z258" s="1160"/>
      <c r="AA258" s="1160"/>
      <c r="AB258" s="1632"/>
      <c r="AC258" s="566"/>
      <c r="AD258" s="566"/>
      <c r="AE258" s="566"/>
      <c r="AF258" s="566"/>
      <c r="AG258" s="1641">
        <v>11</v>
      </c>
    </row>
    <row r="259" s="1641" customFormat="1" ht="11.5" customHeight="1">
      <c r="A259" s="987"/>
      <c r="B259" s="1636"/>
      <c r="C259" s="1636"/>
      <c r="D259" s="351"/>
      <c r="J259" s="1641"/>
      <c r="L259" s="1160"/>
      <c r="M259" s="1636"/>
      <c r="N259" s="1636"/>
      <c r="O259" s="1160"/>
      <c r="P259" s="1160"/>
      <c r="Q259" s="1160"/>
      <c r="R259" s="1160"/>
      <c r="S259" s="1636"/>
      <c r="T259" s="1160"/>
      <c r="U259" s="1160"/>
      <c r="V259" s="544"/>
      <c r="W259" s="1160"/>
      <c r="X259" s="1160"/>
      <c r="Y259" s="1160"/>
      <c r="Z259" s="1160"/>
      <c r="AA259" s="1160"/>
      <c r="AB259" s="1632"/>
      <c r="AC259" s="566"/>
      <c r="AD259" s="566"/>
      <c r="AE259" s="566"/>
      <c r="AF259" s="566"/>
      <c r="AG259" s="1641">
        <v>11</v>
      </c>
    </row>
    <row r="260" s="1641" customFormat="1" ht="11.5" customHeight="1">
      <c r="A260" s="987"/>
      <c r="B260" s="1636"/>
      <c r="C260" s="1636"/>
      <c r="D260" s="351"/>
      <c r="J260" s="1641"/>
      <c r="L260" s="1160"/>
      <c r="M260" s="1636"/>
      <c r="N260" s="1636"/>
      <c r="O260" s="1160"/>
      <c r="P260" s="1160"/>
      <c r="Q260" s="1160"/>
      <c r="R260" s="1160"/>
      <c r="S260" s="1636"/>
      <c r="T260" s="1160"/>
      <c r="U260" s="1160"/>
      <c r="V260" s="544"/>
      <c r="W260" s="1160"/>
      <c r="X260" s="1160"/>
      <c r="Y260" s="1160"/>
      <c r="Z260" s="1160"/>
      <c r="AA260" s="1160"/>
      <c r="AB260" s="1632"/>
      <c r="AC260" s="566"/>
      <c r="AD260" s="566"/>
      <c r="AE260" s="566"/>
      <c r="AF260" s="566"/>
      <c r="AG260" s="1641">
        <v>11</v>
      </c>
    </row>
    <row r="261" s="1641" customFormat="1" ht="11.5" customHeight="1">
      <c r="A261" s="987"/>
      <c r="B261" s="1636"/>
      <c r="C261" s="1636"/>
      <c r="D261" s="351"/>
      <c r="J261" s="1641"/>
      <c r="L261" s="1160"/>
      <c r="M261" s="1636"/>
      <c r="N261" s="1636"/>
      <c r="O261" s="1160"/>
      <c r="P261" s="1160"/>
      <c r="Q261" s="1160"/>
      <c r="R261" s="1160"/>
      <c r="S261" s="1636"/>
      <c r="T261" s="1160"/>
      <c r="U261" s="1160"/>
      <c r="V261" s="544"/>
      <c r="W261" s="1160"/>
      <c r="X261" s="1160"/>
      <c r="Y261" s="1160"/>
      <c r="Z261" s="1160"/>
      <c r="AA261" s="1160"/>
      <c r="AB261" s="1632"/>
      <c r="AC261" s="566"/>
      <c r="AD261" s="566"/>
      <c r="AE261" s="566"/>
      <c r="AF261" s="566"/>
      <c r="AG261" s="1641">
        <v>11</v>
      </c>
    </row>
    <row r="262" s="1641" customFormat="1" ht="11.5" customHeight="1">
      <c r="A262" s="987"/>
      <c r="B262" s="1636"/>
      <c r="C262" s="1636"/>
      <c r="D262" s="351"/>
      <c r="J262" s="1641"/>
      <c r="L262" s="1160"/>
      <c r="M262" s="1636"/>
      <c r="N262" s="1636"/>
      <c r="O262" s="1160"/>
      <c r="P262" s="1160"/>
      <c r="Q262" s="1160"/>
      <c r="R262" s="1160"/>
      <c r="S262" s="1636"/>
      <c r="T262" s="1160"/>
      <c r="U262" s="1160"/>
      <c r="V262" s="544"/>
      <c r="W262" s="1160"/>
      <c r="X262" s="1160"/>
      <c r="Y262" s="1160"/>
      <c r="Z262" s="1160"/>
      <c r="AA262" s="1160"/>
      <c r="AB262" s="1632"/>
      <c r="AC262" s="566"/>
      <c r="AD262" s="566"/>
      <c r="AE262" s="566"/>
      <c r="AF262" s="566"/>
      <c r="AG262" s="1641">
        <v>11</v>
      </c>
    </row>
    <row r="263" s="1641" customFormat="1" ht="11.5" customHeight="1">
      <c r="A263" s="987"/>
      <c r="B263" s="1636"/>
      <c r="C263" s="1636"/>
      <c r="D263" s="351"/>
      <c r="J263" s="1641"/>
      <c r="L263" s="1160"/>
      <c r="M263" s="1636"/>
      <c r="N263" s="1636"/>
      <c r="O263" s="1160"/>
      <c r="P263" s="1160"/>
      <c r="Q263" s="1160"/>
      <c r="R263" s="1160"/>
      <c r="S263" s="1636"/>
      <c r="T263" s="1160"/>
      <c r="U263" s="1160"/>
      <c r="V263" s="544"/>
      <c r="W263" s="1160"/>
      <c r="X263" s="1160"/>
      <c r="Y263" s="1160"/>
      <c r="Z263" s="1160"/>
      <c r="AA263" s="1160"/>
      <c r="AB263" s="1632"/>
      <c r="AC263" s="566"/>
      <c r="AD263" s="566"/>
      <c r="AE263" s="566"/>
      <c r="AF263" s="566"/>
      <c r="AG263" s="1641">
        <v>11</v>
      </c>
    </row>
    <row r="264" s="1641" customFormat="1" ht="11.5" customHeight="1">
      <c r="A264" s="987"/>
      <c r="B264" s="1636"/>
      <c r="C264" s="1636"/>
      <c r="D264" s="351"/>
      <c r="J264" s="1641"/>
      <c r="L264" s="1160"/>
      <c r="M264" s="1636"/>
      <c r="N264" s="1636"/>
      <c r="O264" s="1160"/>
      <c r="P264" s="1160"/>
      <c r="Q264" s="1160"/>
      <c r="R264" s="1160"/>
      <c r="S264" s="1636"/>
      <c r="T264" s="1160"/>
      <c r="U264" s="1160"/>
      <c r="V264" s="544"/>
      <c r="W264" s="1160"/>
      <c r="X264" s="1160"/>
      <c r="Y264" s="1160"/>
      <c r="Z264" s="1160"/>
      <c r="AA264" s="1160"/>
      <c r="AB264" s="1632"/>
      <c r="AC264" s="566"/>
      <c r="AD264" s="566"/>
      <c r="AE264" s="566"/>
      <c r="AF264" s="566"/>
      <c r="AG264" s="1641">
        <v>11</v>
      </c>
    </row>
    <row r="265" s="1641" customFormat="1" ht="11.5" customHeight="1">
      <c r="A265" s="987"/>
      <c r="B265" s="1636"/>
      <c r="C265" s="1636"/>
      <c r="D265" s="351"/>
      <c r="J265" s="1641"/>
      <c r="L265" s="1160"/>
      <c r="M265" s="1636"/>
      <c r="N265" s="1636"/>
      <c r="O265" s="1160"/>
      <c r="P265" s="1160"/>
      <c r="Q265" s="1160"/>
      <c r="R265" s="1160"/>
      <c r="S265" s="1636"/>
      <c r="T265" s="1160"/>
      <c r="U265" s="1160"/>
      <c r="V265" s="544"/>
      <c r="W265" s="1160"/>
      <c r="X265" s="1160"/>
      <c r="Y265" s="1160"/>
      <c r="Z265" s="1160"/>
      <c r="AA265" s="1160"/>
      <c r="AB265" s="1632"/>
      <c r="AC265" s="566"/>
      <c r="AD265" s="566"/>
      <c r="AE265" s="566"/>
      <c r="AF265" s="566"/>
      <c r="AG265" s="1641">
        <v>11</v>
      </c>
    </row>
    <row r="266" s="1641" customFormat="1" ht="11.5" customHeight="1">
      <c r="A266" s="987"/>
      <c r="B266" s="1636"/>
      <c r="C266" s="1636"/>
      <c r="D266" s="351"/>
      <c r="J266" s="1641"/>
      <c r="L266" s="1160"/>
      <c r="M266" s="1636"/>
      <c r="N266" s="1636"/>
      <c r="O266" s="1160"/>
      <c r="P266" s="1160"/>
      <c r="Q266" s="1160"/>
      <c r="R266" s="1160"/>
      <c r="S266" s="1636"/>
      <c r="T266" s="1160"/>
      <c r="U266" s="1160"/>
      <c r="V266" s="544"/>
      <c r="W266" s="1160"/>
      <c r="X266" s="1160"/>
      <c r="Y266" s="1160"/>
      <c r="Z266" s="1160"/>
      <c r="AA266" s="1160"/>
      <c r="AB266" s="1632"/>
      <c r="AC266" s="566"/>
      <c r="AD266" s="566"/>
      <c r="AE266" s="566"/>
      <c r="AF266" s="566"/>
      <c r="AG266" s="1641">
        <v>11</v>
      </c>
    </row>
    <row r="267" s="1641" customFormat="1" ht="11.5" customHeight="1">
      <c r="A267" s="987"/>
      <c r="B267" s="1636"/>
      <c r="C267" s="1636"/>
      <c r="D267" s="351"/>
      <c r="J267" s="1641"/>
      <c r="L267" s="1160"/>
      <c r="M267" s="1636"/>
      <c r="N267" s="1636"/>
      <c r="O267" s="1160"/>
      <c r="P267" s="1160"/>
      <c r="Q267" s="1160"/>
      <c r="R267" s="1160"/>
      <c r="S267" s="1636"/>
      <c r="T267" s="1160"/>
      <c r="U267" s="1160"/>
      <c r="V267" s="544"/>
      <c r="W267" s="1160"/>
      <c r="X267" s="1160"/>
      <c r="Y267" s="1160"/>
      <c r="Z267" s="1160"/>
      <c r="AA267" s="1160"/>
      <c r="AB267" s="1632"/>
      <c r="AC267" s="566"/>
      <c r="AD267" s="566"/>
      <c r="AE267" s="566"/>
      <c r="AF267" s="566"/>
      <c r="AG267" s="1641">
        <v>11</v>
      </c>
    </row>
    <row r="268" s="1641" customFormat="1" ht="11.5" customHeight="1">
      <c r="A268" s="987"/>
      <c r="B268" s="1636"/>
      <c r="C268" s="1636"/>
      <c r="D268" s="351"/>
      <c r="J268" s="1641"/>
      <c r="L268" s="1160"/>
      <c r="M268" s="1636"/>
      <c r="N268" s="1636"/>
      <c r="O268" s="1160"/>
      <c r="P268" s="1160"/>
      <c r="Q268" s="1160"/>
      <c r="R268" s="1160"/>
      <c r="S268" s="1636"/>
      <c r="T268" s="1160"/>
      <c r="U268" s="1160"/>
      <c r="V268" s="544"/>
      <c r="W268" s="1160"/>
      <c r="X268" s="1160"/>
      <c r="Y268" s="1160"/>
      <c r="Z268" s="1160"/>
      <c r="AA268" s="1160"/>
      <c r="AB268" s="1632"/>
      <c r="AC268" s="566"/>
      <c r="AD268" s="566"/>
      <c r="AE268" s="566"/>
      <c r="AF268" s="566"/>
      <c r="AG268" s="1641">
        <v>11</v>
      </c>
    </row>
    <row r="269" s="1641" customFormat="1" ht="11.5" customHeight="1">
      <c r="A269" s="987"/>
      <c r="B269" s="1636"/>
      <c r="C269" s="1636"/>
      <c r="D269" s="351"/>
      <c r="J269" s="1641"/>
      <c r="L269" s="1160"/>
      <c r="M269" s="1636"/>
      <c r="N269" s="1636"/>
      <c r="O269" s="1160"/>
      <c r="P269" s="1160"/>
      <c r="Q269" s="1160"/>
      <c r="R269" s="1160"/>
      <c r="S269" s="1636"/>
      <c r="T269" s="1160"/>
      <c r="U269" s="1160"/>
      <c r="V269" s="544"/>
      <c r="W269" s="1160"/>
      <c r="X269" s="1160"/>
      <c r="Y269" s="1160"/>
      <c r="Z269" s="1160"/>
      <c r="AA269" s="1160"/>
      <c r="AB269" s="1632"/>
      <c r="AC269" s="566"/>
      <c r="AD269" s="566"/>
      <c r="AE269" s="566"/>
      <c r="AF269" s="566"/>
      <c r="AG269" s="1641">
        <v>11</v>
      </c>
    </row>
    <row r="270" s="1641" customFormat="1" ht="11.5" customHeight="1">
      <c r="A270" s="987"/>
      <c r="B270" s="1636"/>
      <c r="C270" s="1636"/>
      <c r="D270" s="351"/>
      <c r="J270" s="1641"/>
      <c r="L270" s="1160"/>
      <c r="M270" s="1636"/>
      <c r="N270" s="1636"/>
      <c r="O270" s="1160"/>
      <c r="P270" s="1160"/>
      <c r="Q270" s="1160"/>
      <c r="R270" s="1160"/>
      <c r="S270" s="1636"/>
      <c r="T270" s="1160"/>
      <c r="U270" s="1160"/>
      <c r="V270" s="544"/>
      <c r="W270" s="1160"/>
      <c r="X270" s="1160"/>
      <c r="Y270" s="1160"/>
      <c r="Z270" s="1160"/>
      <c r="AA270" s="1160"/>
      <c r="AB270" s="1632"/>
      <c r="AC270" s="566"/>
      <c r="AD270" s="566"/>
      <c r="AE270" s="566"/>
      <c r="AF270" s="566"/>
      <c r="AG270" s="1641">
        <v>11</v>
      </c>
    </row>
    <row r="271" s="1641" customFormat="1" ht="11.5" customHeight="1">
      <c r="A271" s="987"/>
      <c r="B271" s="1636"/>
      <c r="C271" s="1636"/>
      <c r="D271" s="351"/>
      <c r="J271" s="1641"/>
      <c r="L271" s="1160"/>
      <c r="M271" s="1636"/>
      <c r="N271" s="1636"/>
      <c r="O271" s="1160"/>
      <c r="P271" s="1160"/>
      <c r="Q271" s="1160"/>
      <c r="R271" s="1160"/>
      <c r="S271" s="1636"/>
      <c r="T271" s="1160"/>
      <c r="U271" s="1160"/>
      <c r="V271" s="544"/>
      <c r="W271" s="1160"/>
      <c r="X271" s="1160"/>
      <c r="Y271" s="1160"/>
      <c r="Z271" s="1160"/>
      <c r="AA271" s="1160"/>
      <c r="AB271" s="1632"/>
      <c r="AC271" s="566"/>
      <c r="AD271" s="566"/>
      <c r="AE271" s="566"/>
      <c r="AF271" s="566"/>
      <c r="AG271" s="1641">
        <v>11</v>
      </c>
    </row>
    <row r="272" s="1641" customFormat="1" ht="11.5" customHeight="1">
      <c r="A272" s="987"/>
      <c r="B272" s="1636"/>
      <c r="C272" s="1636"/>
      <c r="D272" s="351"/>
      <c r="J272" s="1641"/>
      <c r="L272" s="1160"/>
      <c r="M272" s="1636"/>
      <c r="N272" s="1636"/>
      <c r="O272" s="1160"/>
      <c r="P272" s="1160"/>
      <c r="Q272" s="1160"/>
      <c r="R272" s="1160"/>
      <c r="S272" s="1636"/>
      <c r="T272" s="1160"/>
      <c r="U272" s="1160"/>
      <c r="V272" s="544"/>
      <c r="W272" s="1160"/>
      <c r="X272" s="1160"/>
      <c r="Y272" s="1160"/>
      <c r="Z272" s="1160"/>
      <c r="AA272" s="1160"/>
      <c r="AB272" s="1632"/>
      <c r="AC272" s="566"/>
      <c r="AD272" s="566"/>
      <c r="AE272" s="566"/>
      <c r="AF272" s="566"/>
      <c r="AG272" s="1641">
        <v>11</v>
      </c>
    </row>
    <row r="273" s="1641" customFormat="1" ht="11.5" customHeight="1">
      <c r="A273" s="987"/>
      <c r="B273" s="1636"/>
      <c r="C273" s="1636"/>
      <c r="D273" s="351"/>
      <c r="J273" s="1641"/>
      <c r="L273" s="1160"/>
      <c r="M273" s="1636"/>
      <c r="N273" s="1636"/>
      <c r="O273" s="1160"/>
      <c r="P273" s="1160"/>
      <c r="Q273" s="1160"/>
      <c r="R273" s="1160"/>
      <c r="S273" s="1636"/>
      <c r="T273" s="1160"/>
      <c r="U273" s="1160"/>
      <c r="V273" s="544"/>
      <c r="W273" s="1160"/>
      <c r="X273" s="1160"/>
      <c r="Y273" s="1160"/>
      <c r="Z273" s="1160"/>
      <c r="AA273" s="1160"/>
      <c r="AB273" s="1632"/>
      <c r="AC273" s="566"/>
      <c r="AD273" s="566"/>
      <c r="AE273" s="566"/>
      <c r="AF273" s="566"/>
      <c r="AG273" s="1641">
        <v>11</v>
      </c>
    </row>
    <row r="274" s="1641" customFormat="1" ht="11.5" customHeight="1">
      <c r="A274" s="987"/>
      <c r="B274" s="1636"/>
      <c r="C274" s="1636"/>
      <c r="D274" s="351"/>
      <c r="J274" s="1641"/>
      <c r="L274" s="1160"/>
      <c r="M274" s="1636"/>
      <c r="N274" s="1636"/>
      <c r="O274" s="1160"/>
      <c r="P274" s="1160"/>
      <c r="Q274" s="1160"/>
      <c r="R274" s="1160"/>
      <c r="S274" s="1636"/>
      <c r="T274" s="1160"/>
      <c r="U274" s="1160"/>
      <c r="V274" s="544"/>
      <c r="W274" s="1160"/>
      <c r="X274" s="1160"/>
      <c r="Y274" s="1160"/>
      <c r="Z274" s="1160"/>
      <c r="AA274" s="1160"/>
      <c r="AB274" s="1632"/>
      <c r="AC274" s="566"/>
      <c r="AD274" s="566"/>
      <c r="AE274" s="566"/>
      <c r="AF274" s="566"/>
      <c r="AG274" s="1641">
        <v>11</v>
      </c>
    </row>
    <row r="275" s="1641" customFormat="1" ht="11.5" customHeight="1">
      <c r="A275" s="987"/>
      <c r="B275" s="1636"/>
      <c r="C275" s="1636"/>
      <c r="D275" s="351"/>
      <c r="J275" s="1641"/>
      <c r="L275" s="1160"/>
      <c r="M275" s="1636"/>
      <c r="N275" s="1636"/>
      <c r="O275" s="1160"/>
      <c r="P275" s="1160"/>
      <c r="Q275" s="1160"/>
      <c r="R275" s="1160"/>
      <c r="S275" s="1636"/>
      <c r="T275" s="1160"/>
      <c r="U275" s="1160"/>
      <c r="V275" s="544"/>
      <c r="W275" s="1160"/>
      <c r="X275" s="1160"/>
      <c r="Y275" s="1160"/>
      <c r="Z275" s="1160"/>
      <c r="AA275" s="1160"/>
      <c r="AB275" s="1632"/>
      <c r="AC275" s="566"/>
      <c r="AD275" s="566"/>
      <c r="AE275" s="566"/>
      <c r="AF275" s="566"/>
      <c r="AG275" s="1641">
        <v>11</v>
      </c>
    </row>
    <row r="276" s="1641" customFormat="1" ht="11.5" customHeight="1">
      <c r="A276" s="987"/>
      <c r="B276" s="1636"/>
      <c r="C276" s="1636"/>
      <c r="D276" s="351"/>
      <c r="J276" s="1641"/>
      <c r="L276" s="1160"/>
      <c r="M276" s="1636"/>
      <c r="N276" s="1636"/>
      <c r="O276" s="1160"/>
      <c r="P276" s="1160"/>
      <c r="Q276" s="1160"/>
      <c r="R276" s="1160"/>
      <c r="S276" s="1636"/>
      <c r="T276" s="1160"/>
      <c r="U276" s="1160"/>
      <c r="V276" s="544"/>
      <c r="W276" s="1160"/>
      <c r="X276" s="1160"/>
      <c r="Y276" s="1160"/>
      <c r="Z276" s="1160"/>
      <c r="AA276" s="1160"/>
      <c r="AB276" s="1632"/>
      <c r="AC276" s="566"/>
      <c r="AD276" s="566"/>
      <c r="AE276" s="566"/>
      <c r="AF276" s="566"/>
      <c r="AG276" s="1641">
        <v>11</v>
      </c>
    </row>
    <row r="277" s="1641" customFormat="1" ht="11.5" customHeight="1">
      <c r="A277" s="987"/>
      <c r="B277" s="1636"/>
      <c r="C277" s="1636"/>
      <c r="D277" s="351"/>
      <c r="J277" s="1641"/>
      <c r="L277" s="1160"/>
      <c r="M277" s="1636"/>
      <c r="N277" s="1636"/>
      <c r="O277" s="1160"/>
      <c r="P277" s="1160"/>
      <c r="Q277" s="1160"/>
      <c r="R277" s="1160"/>
      <c r="S277" s="1636"/>
      <c r="T277" s="1160"/>
      <c r="U277" s="1160"/>
      <c r="V277" s="544"/>
      <c r="W277" s="1160"/>
      <c r="X277" s="1160"/>
      <c r="Y277" s="1160"/>
      <c r="Z277" s="1160"/>
      <c r="AA277" s="1160"/>
      <c r="AB277" s="1632"/>
      <c r="AC277" s="566"/>
      <c r="AD277" s="566"/>
      <c r="AE277" s="566"/>
      <c r="AF277" s="566"/>
      <c r="AG277" s="1641">
        <v>11</v>
      </c>
    </row>
    <row r="278" s="1641" customFormat="1" ht="11.5" customHeight="1">
      <c r="A278" s="987"/>
      <c r="B278" s="1636"/>
      <c r="C278" s="1636"/>
      <c r="D278" s="351"/>
      <c r="J278" s="1641"/>
      <c r="L278" s="1160"/>
      <c r="M278" s="1636"/>
      <c r="N278" s="1636"/>
      <c r="O278" s="1160"/>
      <c r="P278" s="1160"/>
      <c r="Q278" s="1160"/>
      <c r="R278" s="1160"/>
      <c r="S278" s="1636"/>
      <c r="T278" s="1160"/>
      <c r="U278" s="1160"/>
      <c r="V278" s="544"/>
      <c r="W278" s="1160"/>
      <c r="X278" s="1160"/>
      <c r="Y278" s="1160"/>
      <c r="Z278" s="1160"/>
      <c r="AA278" s="1160"/>
      <c r="AB278" s="1632"/>
      <c r="AC278" s="566"/>
      <c r="AD278" s="566"/>
      <c r="AE278" s="566"/>
      <c r="AF278" s="566"/>
      <c r="AG278" s="1641">
        <v>11</v>
      </c>
    </row>
    <row r="279" s="1641" customFormat="1" ht="11.5" customHeight="1">
      <c r="A279" s="987"/>
      <c r="B279" s="1636"/>
      <c r="C279" s="1636"/>
      <c r="D279" s="351"/>
      <c r="J279" s="1641"/>
      <c r="L279" s="1160"/>
      <c r="M279" s="1636"/>
      <c r="N279" s="1636"/>
      <c r="O279" s="1160"/>
      <c r="P279" s="1160"/>
      <c r="Q279" s="1160"/>
      <c r="R279" s="1160"/>
      <c r="S279" s="1636"/>
      <c r="T279" s="1160"/>
      <c r="U279" s="1160"/>
      <c r="V279" s="544"/>
      <c r="W279" s="1160"/>
      <c r="X279" s="1160"/>
      <c r="Y279" s="1160"/>
      <c r="Z279" s="1160"/>
      <c r="AA279" s="1160"/>
      <c r="AB279" s="1632"/>
      <c r="AC279" s="566"/>
      <c r="AD279" s="566"/>
      <c r="AE279" s="566"/>
      <c r="AF279" s="566"/>
      <c r="AG279" s="1641">
        <v>11</v>
      </c>
    </row>
    <row r="280" s="1641" customFormat="1" ht="11.5" customHeight="1">
      <c r="A280" s="987"/>
      <c r="B280" s="1636"/>
      <c r="C280" s="1636"/>
      <c r="D280" s="351"/>
      <c r="J280" s="1641"/>
      <c r="L280" s="1160"/>
      <c r="M280" s="1636"/>
      <c r="N280" s="1636"/>
      <c r="O280" s="1160"/>
      <c r="P280" s="1160"/>
      <c r="Q280" s="1160"/>
      <c r="R280" s="1160"/>
      <c r="S280" s="1636"/>
      <c r="T280" s="1160"/>
      <c r="U280" s="1160"/>
      <c r="V280" s="544"/>
      <c r="W280" s="1160"/>
      <c r="X280" s="1160"/>
      <c r="Y280" s="1160"/>
      <c r="Z280" s="1160"/>
      <c r="AA280" s="1160"/>
      <c r="AB280" s="1632"/>
      <c r="AC280" s="566"/>
      <c r="AD280" s="566"/>
      <c r="AE280" s="566"/>
      <c r="AF280" s="566"/>
      <c r="AG280" s="1641">
        <v>11</v>
      </c>
    </row>
    <row r="281" s="1641" customFormat="1" ht="11.5" customHeight="1">
      <c r="A281" s="987"/>
      <c r="B281" s="1636"/>
      <c r="C281" s="1636"/>
      <c r="D281" s="351"/>
      <c r="J281" s="1641"/>
      <c r="L281" s="1160"/>
      <c r="M281" s="1636"/>
      <c r="N281" s="1636"/>
      <c r="O281" s="1160"/>
      <c r="P281" s="1160"/>
      <c r="Q281" s="1160"/>
      <c r="R281" s="1160"/>
      <c r="S281" s="1636"/>
      <c r="T281" s="1160"/>
      <c r="U281" s="1160"/>
      <c r="V281" s="544"/>
      <c r="W281" s="1160"/>
      <c r="X281" s="1160"/>
      <c r="Y281" s="1160"/>
      <c r="Z281" s="1160"/>
      <c r="AA281" s="1160"/>
      <c r="AB281" s="1632"/>
      <c r="AC281" s="566"/>
      <c r="AD281" s="566"/>
      <c r="AE281" s="566"/>
      <c r="AF281" s="566"/>
      <c r="AG281" s="1641">
        <v>11</v>
      </c>
    </row>
    <row r="282" s="1641" customFormat="1" ht="11.5" customHeight="1">
      <c r="A282" s="987"/>
      <c r="B282" s="1636"/>
      <c r="C282" s="1636"/>
      <c r="D282" s="351"/>
      <c r="J282" s="1641"/>
      <c r="L282" s="1160"/>
      <c r="M282" s="1636"/>
      <c r="N282" s="1636"/>
      <c r="O282" s="1160"/>
      <c r="P282" s="1160"/>
      <c r="Q282" s="1160"/>
      <c r="R282" s="1160"/>
      <c r="S282" s="1636"/>
      <c r="T282" s="1160"/>
      <c r="U282" s="1160"/>
      <c r="V282" s="544"/>
      <c r="W282" s="1160"/>
      <c r="X282" s="1160"/>
      <c r="Y282" s="1160"/>
      <c r="Z282" s="1160"/>
      <c r="AA282" s="1160"/>
      <c r="AB282" s="1632"/>
      <c r="AC282" s="566"/>
      <c r="AD282" s="566"/>
      <c r="AE282" s="566"/>
      <c r="AF282" s="566"/>
      <c r="AG282" s="1641">
        <v>11</v>
      </c>
    </row>
    <row r="283" s="1641" customFormat="1" ht="11.5" customHeight="1">
      <c r="A283" s="987"/>
      <c r="B283" s="1636"/>
      <c r="C283" s="1636"/>
      <c r="D283" s="351"/>
      <c r="J283" s="1641"/>
      <c r="L283" s="1160"/>
      <c r="M283" s="1636"/>
      <c r="N283" s="1636"/>
      <c r="O283" s="1160"/>
      <c r="P283" s="1160"/>
      <c r="Q283" s="1160"/>
      <c r="R283" s="1160"/>
      <c r="S283" s="1636"/>
      <c r="T283" s="1160"/>
      <c r="U283" s="1160"/>
      <c r="V283" s="544"/>
      <c r="W283" s="1160"/>
      <c r="X283" s="1160"/>
      <c r="Y283" s="1160"/>
      <c r="Z283" s="1160"/>
      <c r="AA283" s="1160"/>
      <c r="AB283" s="1632"/>
      <c r="AC283" s="566"/>
      <c r="AD283" s="566"/>
      <c r="AE283" s="566"/>
      <c r="AF283" s="566"/>
      <c r="AG283" s="1641">
        <v>11</v>
      </c>
    </row>
    <row r="284" s="1641" customFormat="1" ht="11.5" customHeight="1">
      <c r="A284" s="987"/>
      <c r="B284" s="1636"/>
      <c r="C284" s="1636"/>
      <c r="D284" s="351"/>
      <c r="J284" s="1641"/>
      <c r="L284" s="1160"/>
      <c r="M284" s="1636"/>
      <c r="N284" s="1636"/>
      <c r="O284" s="1160"/>
      <c r="P284" s="1160"/>
      <c r="Q284" s="1160"/>
      <c r="R284" s="1160"/>
      <c r="S284" s="1636"/>
      <c r="T284" s="1160"/>
      <c r="U284" s="1160"/>
      <c r="V284" s="544"/>
      <c r="W284" s="1160"/>
      <c r="X284" s="1160"/>
      <c r="Y284" s="1160"/>
      <c r="Z284" s="1160"/>
      <c r="AA284" s="1160"/>
      <c r="AB284" s="1632"/>
      <c r="AC284" s="566"/>
      <c r="AD284" s="566"/>
      <c r="AE284" s="566"/>
      <c r="AF284" s="566"/>
      <c r="AG284" s="1641">
        <v>11</v>
      </c>
    </row>
    <row r="285" s="1641" customFormat="1" ht="11.5" customHeight="1">
      <c r="A285" s="987"/>
      <c r="B285" s="1636"/>
      <c r="C285" s="1636"/>
      <c r="D285" s="351"/>
      <c r="J285" s="1641"/>
      <c r="L285" s="1160"/>
      <c r="M285" s="1636"/>
      <c r="N285" s="1636"/>
      <c r="O285" s="1160"/>
      <c r="P285" s="1160"/>
      <c r="Q285" s="1160"/>
      <c r="R285" s="1160"/>
      <c r="S285" s="1636"/>
      <c r="T285" s="1160"/>
      <c r="U285" s="1160"/>
      <c r="V285" s="544"/>
      <c r="W285" s="1160"/>
      <c r="X285" s="1160"/>
      <c r="Y285" s="1160"/>
      <c r="Z285" s="1160"/>
      <c r="AA285" s="1160"/>
      <c r="AB285" s="1632"/>
      <c r="AC285" s="566"/>
      <c r="AD285" s="566"/>
      <c r="AE285" s="566"/>
      <c r="AF285" s="566"/>
      <c r="AG285" s="1641">
        <v>11</v>
      </c>
    </row>
    <row r="286" s="1641" customFormat="1" ht="11.5" customHeight="1">
      <c r="A286" s="987"/>
      <c r="B286" s="1636"/>
      <c r="C286" s="1636"/>
      <c r="D286" s="351"/>
      <c r="J286" s="1641"/>
      <c r="L286" s="1160"/>
      <c r="M286" s="1636"/>
      <c r="N286" s="1636"/>
      <c r="O286" s="1160"/>
      <c r="P286" s="1160"/>
      <c r="Q286" s="1160"/>
      <c r="R286" s="1160"/>
      <c r="S286" s="1636"/>
      <c r="T286" s="1160"/>
      <c r="U286" s="1160"/>
      <c r="V286" s="544"/>
      <c r="W286" s="1160"/>
      <c r="X286" s="1160"/>
      <c r="Y286" s="1160"/>
      <c r="Z286" s="1160"/>
      <c r="AA286" s="1160"/>
      <c r="AB286" s="1632"/>
      <c r="AC286" s="566"/>
      <c r="AD286" s="566"/>
      <c r="AE286" s="566"/>
      <c r="AF286" s="566"/>
      <c r="AG286" s="1641">
        <v>11</v>
      </c>
    </row>
    <row r="287" s="1641" customFormat="1" ht="11.5" customHeight="1">
      <c r="A287" s="987"/>
      <c r="B287" s="1636"/>
      <c r="C287" s="1636"/>
      <c r="D287" s="351"/>
      <c r="J287" s="1641"/>
      <c r="L287" s="1160"/>
      <c r="M287" s="1636"/>
      <c r="N287" s="1636"/>
      <c r="O287" s="1160"/>
      <c r="P287" s="1160"/>
      <c r="Q287" s="1160"/>
      <c r="R287" s="1160"/>
      <c r="S287" s="1636"/>
      <c r="T287" s="1160"/>
      <c r="U287" s="1160"/>
      <c r="V287" s="544"/>
      <c r="W287" s="1160"/>
      <c r="X287" s="1160"/>
      <c r="Y287" s="1160"/>
      <c r="Z287" s="1160"/>
      <c r="AA287" s="1160"/>
      <c r="AB287" s="1632"/>
      <c r="AC287" s="566"/>
      <c r="AD287" s="566"/>
      <c r="AE287" s="566"/>
      <c r="AF287" s="566"/>
      <c r="AG287" s="1641">
        <v>11</v>
      </c>
    </row>
    <row r="288" s="1641" customFormat="1" ht="11.5" customHeight="1">
      <c r="A288" s="987"/>
      <c r="B288" s="1636"/>
      <c r="C288" s="1636"/>
      <c r="D288" s="351"/>
      <c r="J288" s="1641"/>
      <c r="L288" s="1160"/>
      <c r="M288" s="1636"/>
      <c r="N288" s="1636"/>
      <c r="O288" s="1160"/>
      <c r="P288" s="1160"/>
      <c r="Q288" s="1160"/>
      <c r="R288" s="1160"/>
      <c r="S288" s="1636"/>
      <c r="T288" s="1160"/>
      <c r="U288" s="1160"/>
      <c r="V288" s="544"/>
      <c r="W288" s="1160"/>
      <c r="X288" s="1160"/>
      <c r="Y288" s="1160"/>
      <c r="Z288" s="1160"/>
      <c r="AA288" s="1160"/>
      <c r="AB288" s="1632"/>
      <c r="AC288" s="566"/>
      <c r="AD288" s="566"/>
      <c r="AE288" s="566"/>
      <c r="AF288" s="566"/>
      <c r="AG288" s="1641">
        <v>11</v>
      </c>
    </row>
    <row r="289" ht="11.5" customHeight="1">
      <c r="J289" s="1635"/>
      <c r="AG289" s="1631">
        <v>11</v>
      </c>
    </row>
    <row r="290" ht="11.5" customHeight="1">
      <c r="J290" s="1635"/>
      <c r="AG290" s="1631">
        <v>11</v>
      </c>
    </row>
    <row r="291" ht="11.5" customHeight="1">
      <c r="J291" s="1635"/>
      <c r="AG291" s="1631">
        <v>11</v>
      </c>
    </row>
    <row r="292" ht="11.5" customHeight="1">
      <c r="A292" s="990"/>
      <c r="B292" s="1631"/>
      <c r="D292" s="1631"/>
      <c r="J292" s="1635"/>
      <c r="L292" s="1631"/>
      <c r="O292" s="1631"/>
      <c r="P292" s="1631"/>
      <c r="Q292" s="1631"/>
      <c r="R292" s="1631"/>
      <c r="T292" s="1631"/>
      <c r="U292" s="1631"/>
      <c r="V292" s="1631"/>
      <c r="W292" s="1631"/>
      <c r="X292" s="1631"/>
      <c r="Y292" s="1631"/>
      <c r="Z292" s="1631"/>
      <c r="AA292" s="1631"/>
      <c r="AB292" s="1631"/>
      <c r="AC292" s="1631"/>
      <c r="AD292" s="1631"/>
      <c r="AE292" s="1631"/>
      <c r="AF292" s="1631"/>
      <c r="AG292" s="1631">
        <v>11</v>
      </c>
    </row>
    <row r="293" ht="11.5" customHeight="1">
      <c r="A293" s="990"/>
      <c r="B293" s="1631"/>
      <c r="D293" s="1631"/>
      <c r="J293" s="1635"/>
      <c r="L293" s="1631"/>
      <c r="O293" s="1631"/>
      <c r="P293" s="1631"/>
      <c r="Q293" s="1631"/>
      <c r="R293" s="1631"/>
      <c r="T293" s="1631"/>
      <c r="U293" s="1631"/>
      <c r="V293" s="1631"/>
      <c r="W293" s="1631"/>
      <c r="X293" s="1631"/>
      <c r="Y293" s="1631"/>
      <c r="Z293" s="1631"/>
      <c r="AA293" s="1631"/>
      <c r="AB293" s="1631"/>
      <c r="AC293" s="1631"/>
      <c r="AD293" s="1631"/>
      <c r="AE293" s="1631"/>
      <c r="AF293" s="1631"/>
      <c r="AG293" s="1631">
        <v>11</v>
      </c>
    </row>
    <row r="294" ht="11.5" customHeight="1">
      <c r="A294" s="990"/>
      <c r="B294" s="1631"/>
      <c r="D294" s="1631"/>
      <c r="J294" s="1635"/>
      <c r="L294" s="1631"/>
      <c r="O294" s="1631"/>
      <c r="P294" s="1631"/>
      <c r="Q294" s="1631"/>
      <c r="R294" s="1631"/>
      <c r="T294" s="1631"/>
      <c r="U294" s="1631"/>
      <c r="V294" s="1631"/>
      <c r="W294" s="1631"/>
      <c r="X294" s="1631"/>
      <c r="Y294" s="1631"/>
      <c r="Z294" s="1631"/>
      <c r="AA294" s="1631"/>
      <c r="AB294" s="1631"/>
      <c r="AC294" s="1631"/>
      <c r="AD294" s="1631"/>
      <c r="AE294" s="1631"/>
      <c r="AF294" s="1631"/>
      <c r="AG294" s="1631">
        <v>11</v>
      </c>
    </row>
    <row r="295" ht="11.5" customHeight="1">
      <c r="A295" s="990"/>
      <c r="B295" s="1631"/>
      <c r="D295" s="1631"/>
      <c r="J295" s="1635"/>
      <c r="L295" s="1631"/>
      <c r="O295" s="1631"/>
      <c r="P295" s="1631"/>
      <c r="Q295" s="1631"/>
      <c r="R295" s="1631"/>
      <c r="T295" s="1631"/>
      <c r="U295" s="1631"/>
      <c r="V295" s="1631"/>
      <c r="W295" s="1631"/>
      <c r="X295" s="1631"/>
      <c r="Y295" s="1631"/>
      <c r="Z295" s="1631"/>
      <c r="AA295" s="1631"/>
      <c r="AB295" s="1631"/>
      <c r="AC295" s="1631"/>
      <c r="AD295" s="1631"/>
      <c r="AE295" s="1631"/>
      <c r="AF295" s="1631"/>
      <c r="AG295" s="1631">
        <v>11</v>
      </c>
    </row>
    <row r="296" ht="11.5" customHeight="1">
      <c r="A296" s="990"/>
      <c r="B296" s="1631"/>
      <c r="D296" s="1631"/>
      <c r="J296" s="1635"/>
      <c r="L296" s="1631"/>
      <c r="O296" s="1631"/>
      <c r="P296" s="1631"/>
      <c r="Q296" s="1631"/>
      <c r="R296" s="1631"/>
      <c r="T296" s="1631"/>
      <c r="U296" s="1631"/>
      <c r="V296" s="1631"/>
      <c r="W296" s="1631"/>
      <c r="X296" s="1631"/>
      <c r="Y296" s="1631"/>
      <c r="Z296" s="1631"/>
      <c r="AA296" s="1631"/>
      <c r="AB296" s="1631"/>
      <c r="AC296" s="1631"/>
      <c r="AD296" s="1631"/>
      <c r="AE296" s="1631"/>
      <c r="AF296" s="1631"/>
      <c r="AG296" s="1631">
        <v>11</v>
      </c>
    </row>
    <row r="297" ht="11.5" customHeight="1">
      <c r="A297" s="990"/>
      <c r="B297" s="1631"/>
      <c r="D297" s="1631"/>
      <c r="J297" s="1635"/>
      <c r="L297" s="1631"/>
      <c r="O297" s="1631"/>
      <c r="P297" s="1631"/>
      <c r="Q297" s="1631"/>
      <c r="R297" s="1631"/>
      <c r="T297" s="1631"/>
      <c r="U297" s="1631"/>
      <c r="V297" s="1631"/>
      <c r="W297" s="1631"/>
      <c r="X297" s="1631"/>
      <c r="Y297" s="1631"/>
      <c r="Z297" s="1631"/>
      <c r="AA297" s="1631"/>
      <c r="AB297" s="1631"/>
      <c r="AC297" s="1631"/>
      <c r="AD297" s="1631"/>
      <c r="AE297" s="1631"/>
      <c r="AF297" s="1631"/>
      <c r="AG297" s="1631">
        <v>11</v>
      </c>
    </row>
    <row r="298" ht="11.5" customHeight="1">
      <c r="A298" s="990"/>
      <c r="B298" s="1631"/>
      <c r="D298" s="1631"/>
      <c r="J298" s="1635"/>
      <c r="L298" s="1631"/>
      <c r="O298" s="1631"/>
      <c r="P298" s="1631"/>
      <c r="Q298" s="1631"/>
      <c r="R298" s="1631"/>
      <c r="T298" s="1631"/>
      <c r="U298" s="1631"/>
      <c r="V298" s="1631"/>
      <c r="W298" s="1631"/>
      <c r="X298" s="1631"/>
      <c r="Y298" s="1631"/>
      <c r="Z298" s="1631"/>
      <c r="AA298" s="1631"/>
      <c r="AB298" s="1631"/>
      <c r="AC298" s="1631"/>
      <c r="AD298" s="1631"/>
      <c r="AE298" s="1631"/>
      <c r="AF298" s="1631"/>
      <c r="AG298" s="1631">
        <v>11</v>
      </c>
    </row>
    <row r="299" ht="11.5" customHeight="1">
      <c r="A299" s="990"/>
      <c r="B299" s="1631"/>
      <c r="D299" s="1631"/>
      <c r="J299" s="1635"/>
      <c r="L299" s="1631"/>
      <c r="O299" s="1631"/>
      <c r="P299" s="1631"/>
      <c r="Q299" s="1631"/>
      <c r="R299" s="1631"/>
      <c r="T299" s="1631"/>
      <c r="U299" s="1631"/>
      <c r="V299" s="1631"/>
      <c r="W299" s="1631"/>
      <c r="X299" s="1631"/>
      <c r="Y299" s="1631"/>
      <c r="Z299" s="1631"/>
      <c r="AA299" s="1631"/>
      <c r="AB299" s="1631"/>
      <c r="AC299" s="1631"/>
      <c r="AD299" s="1631"/>
      <c r="AE299" s="1631"/>
      <c r="AF299" s="1631"/>
      <c r="AG299" s="1631">
        <v>11</v>
      </c>
    </row>
    <row r="300" ht="11.5" customHeight="1">
      <c r="A300" s="990"/>
      <c r="B300" s="1631"/>
      <c r="D300" s="1631"/>
      <c r="J300" s="1635"/>
      <c r="L300" s="1631"/>
      <c r="O300" s="1631"/>
      <c r="P300" s="1631"/>
      <c r="Q300" s="1631"/>
      <c r="R300" s="1631"/>
      <c r="T300" s="1631"/>
      <c r="U300" s="1631"/>
      <c r="V300" s="1631"/>
      <c r="W300" s="1631"/>
      <c r="X300" s="1631"/>
      <c r="Y300" s="1631"/>
      <c r="Z300" s="1631"/>
      <c r="AA300" s="1631"/>
      <c r="AB300" s="1631"/>
      <c r="AC300" s="1631"/>
      <c r="AD300" s="1631"/>
      <c r="AE300" s="1631"/>
      <c r="AF300" s="1631"/>
      <c r="AG300" s="1631">
        <v>11</v>
      </c>
    </row>
    <row r="301" ht="11.5" customHeight="1">
      <c r="A301" s="990"/>
      <c r="B301" s="1631"/>
      <c r="D301" s="1631"/>
      <c r="J301" s="1635"/>
      <c r="L301" s="1631"/>
      <c r="O301" s="1631"/>
      <c r="P301" s="1631"/>
      <c r="Q301" s="1631"/>
      <c r="R301" s="1631"/>
      <c r="T301" s="1631"/>
      <c r="U301" s="1631"/>
      <c r="V301" s="1631"/>
      <c r="W301" s="1631"/>
      <c r="X301" s="1631"/>
      <c r="Y301" s="1631"/>
      <c r="Z301" s="1631"/>
      <c r="AA301" s="1631"/>
      <c r="AB301" s="1631"/>
      <c r="AC301" s="1631"/>
      <c r="AD301" s="1631"/>
      <c r="AE301" s="1631"/>
      <c r="AF301" s="1631"/>
      <c r="AG301" s="1631">
        <v>11</v>
      </c>
    </row>
    <row r="302" ht="11.5" customHeight="1">
      <c r="A302" s="990"/>
      <c r="B302" s="1631"/>
      <c r="D302" s="1631"/>
      <c r="J302" s="1635"/>
      <c r="L302" s="1631"/>
      <c r="O302" s="1631"/>
      <c r="P302" s="1631"/>
      <c r="Q302" s="1631"/>
      <c r="R302" s="1631"/>
      <c r="T302" s="1631"/>
      <c r="U302" s="1631"/>
      <c r="V302" s="1631"/>
      <c r="W302" s="1631"/>
      <c r="X302" s="1631"/>
      <c r="Y302" s="1631"/>
      <c r="Z302" s="1631"/>
      <c r="AA302" s="1631"/>
      <c r="AB302" s="1631"/>
      <c r="AC302" s="1631"/>
      <c r="AD302" s="1631"/>
      <c r="AE302" s="1631"/>
      <c r="AF302" s="1631"/>
      <c r="AG302" s="1631">
        <v>11</v>
      </c>
    </row>
    <row r="303" ht="11.25" hidden="1" customHeight="1">
      <c r="A303" s="987" t="s">
        <v>81</v>
      </c>
      <c r="B303" s="1160">
        <v>0</v>
      </c>
      <c r="C303" s="1636">
        <v>0</v>
      </c>
      <c r="D303" s="1635">
        <v>3</v>
      </c>
      <c r="E303" s="1631">
        <v>7</v>
      </c>
      <c r="F303" s="1631">
        <v>54</v>
      </c>
      <c r="G303" s="1631">
        <v>10</v>
      </c>
      <c r="H303" s="1631">
        <v>0</v>
      </c>
      <c r="I303" s="1631">
        <v>40</v>
      </c>
      <c r="J303" s="1635">
        <v>0</v>
      </c>
      <c r="K303" s="1631">
        <v>102</v>
      </c>
      <c r="L303" s="1160">
        <v>9</v>
      </c>
      <c r="M303" s="1636">
        <v>5</v>
      </c>
      <c r="N303" s="1636">
        <v>3</v>
      </c>
      <c r="O303" s="1160">
        <v>3</v>
      </c>
      <c r="P303" s="1160">
        <v>3</v>
      </c>
      <c r="Q303" s="1160">
        <v>3</v>
      </c>
      <c r="R303" s="1160">
        <v>3</v>
      </c>
      <c r="S303" s="1636">
        <v>10</v>
      </c>
      <c r="T303" s="1160">
        <v>34</v>
      </c>
      <c r="U303" s="1160">
        <v>9</v>
      </c>
      <c r="V303" s="544">
        <v>8</v>
      </c>
      <c r="W303" s="1160">
        <v>8</v>
      </c>
      <c r="X303" s="1160">
        <v>8</v>
      </c>
      <c r="Y303" s="1160">
        <v>8</v>
      </c>
      <c r="Z303" s="1160">
        <v>8</v>
      </c>
      <c r="AA303" s="1160">
        <v>8</v>
      </c>
      <c r="AB303" s="1632">
        <v>8</v>
      </c>
      <c r="AC303" s="1632">
        <v>8</v>
      </c>
      <c r="AD303" s="1632">
        <v>8</v>
      </c>
      <c r="AE303" s="1632">
        <v>8</v>
      </c>
      <c r="AF303" s="1632">
        <v>8</v>
      </c>
      <c r="AG303" s="1631">
        <v>11</v>
      </c>
    </row>
  </sheetData>
  <sheetProtection autoFilter="0" deleteColumns="0" deleteRows="0" formatColumns="0" formatRows="0" insertColumns="1" insertRows="0" sort="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K25:K29"/>
    <mergeCell ref="F25:G25"/>
    <mergeCell ref="F26:G26"/>
    <mergeCell ref="F27:G27"/>
    <mergeCell ref="E28:G28"/>
  </mergeCells>
  <dataValidations count="1">
    <dataValidation sqref="H68:J68 H66:J66" allowBlank="1" prompt="Для выбора выполните двойной щелчок левой клавиши мыши по соответствующей ячейке." showErrorMessage="1" showInputMessage="1"/>
  </dataValidations>
  <pageMargins left="0.69999999999999996" right="0.69999999999999996" top="0.75" bottom="0.75" header="0.29999999999999999" footer="0.29999999999999999"/>
  <pageSetup paperSize="9"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11">
        <x14:dataValidation xr:uid="{00BD006B-0018-48CB-AB1B-002600BF0029}" type="list" allowBlank="1" error="Выберите значение из списка" errorTitle="Ошибка" prompt="Выберите значение из списка" showErrorMessage="1" showInputMessage="1">
          <x14:formula1>
            <xm:f>kind_of_purchase_method</xm:f>
          </x14:formula1>
          <xm:sqref>H7:J7</xm:sqref>
        </x14:dataValidation>
        <x14:dataValidation xr:uid="{000F00AF-0091-4897-BDB3-00C3006300A0}" type="textLength" allowBlank="1" error="Допускается ввод не более 900 символов!" errorTitle="Ошибка" operator="lessThanOrEqual" prompt="Введите наименование прочих расходов" showErrorMessage="1" showInputMessage="1">
          <x14:formula1>
            <xm:f>900</xm:f>
          </x14:formula1>
          <xm:sqref>F12 F10 H70:J70</xm:sqref>
        </x14:dataValidation>
        <x14:dataValidation xr:uid="{000C001F-005B-4CDC-A1B7-00EA005B0094}" type="textLength" allowBlank="1" error="Допускается ввод не более 900 символов!" errorTitle="Ошибка" operator="lessThanOrEqual" showErrorMessage="1" showInputMessage="1">
          <x14:formula1>
            <xm:f>900</xm:f>
          </x14:formula1>
          <xm:sqref>G4 H34:J34 H39:J39</xm:sqref>
        </x14:dataValidation>
        <x14:dataValidation xr:uid="{00F20061-0062-4FC9-A08D-001100D40060}" type="decimal" allowBlank="1" error="Допускается ввод только неотрицательных чисел!" errorTitle="Ошибка" showErrorMessage="1">
          <x14:formula1>
            <xm:f>0</xm:f>
          </x14:formula1>
          <x14:formula2>
            <xm:f>9.99999999999999E+23</xm:f>
          </x14:formula2>
          <xm:sqref>H67:J67 H69:J69 H91:J94 H127:J127 H30:J30 H32:J33 H35:J38 H40:J65 H82:J86 H17:J17 H9:J13 H15:J15 H96:J119 H74:J74 H88:J89 H4:J6</xm:sqref>
        </x14:dataValidation>
        <x14:dataValidation xr:uid="{003F00AA-0007-4B9F-903D-009B00870021}" type="textLength" allowBlank="1" error="Допускается ввод не более 900 символов!" errorTitle="Ошибка" operator="lessThanOrEqual" prompt="Введите источник тепловой энергии" showErrorMessage="1" showInputMessage="1">
          <x14:formula1>
            <xm:f>900</xm:f>
          </x14:formula1>
          <xm:sqref>1:1</xm:sqref>
        </x14:dataValidation>
        <x14:dataValidation xr:uid="{00930010-0075-4CFF-A05D-00C6006E006A}" type="list" allowBlank="1" error="Выберите значение из списка" errorTitle="Ошибка" prompt="Выберите значение из списка" showErrorMessage="1" showInputMessage="1">
          <x14:formula1>
            <xm:f>kind_of_fuels</xm:f>
          </x14:formula1>
          <xm:sqref>F2</xm:sqref>
        </x14:dataValidation>
        <x14:dataValidation xr:uid="{00B600B9-0034-4B56-A36F-001500FB00D0}" type="list" allowBlank="1" error="Выберите значение из списка" errorTitle="Ошибка" prompt="Выберите значение из списка" showErrorMessage="1" showInputMessage="1">
          <x14:formula1>
            <xm:f>kind_of_volume_te_unit</xm:f>
          </x14:formula1>
          <xm:sqref>G93</xm:sqref>
        </x14:dataValidation>
        <x14:dataValidation xr:uid="{004E00C4-00A9-4B2C-A8A6-004800CA0008}" type="textLength" allowBlank="1" error="Допускается ввод не более 900 символов!" errorTitle="Ошибка" operator="lessThanOrEqual" prompt="Введите ссылку на обосновывающие материалы, загруженные с помощью &quot;ЕИАС Web&quot;." showErrorMessage="1" showInputMessage="1">
          <x14:formula1>
            <xm:f>900</xm:f>
          </x14:formula1>
          <xm:sqref>H128:J130 H81:J81</xm:sqref>
        </x14:dataValidation>
        <x14:dataValidation xr:uid="{00D1000F-00E5-4C67-B9D3-003B00600030}" type="decimal" allowBlank="1" error="Допускается ввод только действительных чисел!" errorTitle="Ошибка" showErrorMessage="1">
          <x14:formula1>
            <xm:f>-9.99999999999999E+23</xm:f>
          </x14:formula1>
          <x14:formula2>
            <xm:f>9.99999999999999E+23</xm:f>
          </x14:formula2>
          <xm:sqref>H72:J73</xm:sqref>
        </x14:dataValidation>
        <x14:dataValidation xr:uid="{001B00E6-00E3-4A4B-9194-00D300D50053}" type="decimal" allowBlank="1" error="Допускается ввод только действительных чисел!" errorTitle="Ошибка" showErrorMessage="1">
          <x14:formula1>
            <xm:f>-9.99999999999999E+37</xm:f>
          </x14:formula1>
          <x14:formula2>
            <xm:f>9.99999999999999E+37</xm:f>
          </x14:formula2>
          <xm:sqref>H123:J123 H120:J120 H126:J126 H75:J80</xm:sqref>
        </x14:dataValidation>
        <x14:dataValidation xr:uid="{003800EB-0081-4830-B377-00C800FB00DE}" type="decimal" allowBlank="1" error="Введите значение от 0 до 100%" errorTitle="Ошибка" showErrorMessage="1">
          <x14:formula1>
            <xm:f>0</xm:f>
          </x14:formula1>
          <x14:formula2>
            <xm:f>100</xm:f>
          </x14:formula2>
          <xm:sqref>H90:J90 H95:J95</xm:sqref>
        </x14:dataValidation>
      </x14:dataValidations>
    </ext>
  </extLst>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9" tint="-0.25"/>
  </sheetPr>
  <sheetViews>
    <sheetView showGridLines="0" topLeftCell="A1" zoomScale="90" workbookViewId="0">
      <selection activeCell="A23" sqref="A23:XFD31"/>
    </sheetView>
  </sheetViews>
  <sheetFormatPr defaultColWidth="9.140625" defaultRowHeight="11.25" customHeight="1"/>
  <cols>
    <col customWidth="1" hidden="1" min="1" max="1" style="943" width="14.7109375"/>
    <col customWidth="1" hidden="1" min="2" max="2" style="1632" width="17.00390625"/>
    <col customWidth="1" min="3" max="3" style="1635" width="3.00390625"/>
    <col customWidth="1" hidden="1" min="4" max="4" style="1635" width="1.8515625"/>
    <col customWidth="1" min="5" max="6" style="1635" width="7.00390625"/>
    <col customWidth="1" min="7" max="7" style="1635" width="29.00390625"/>
    <col customWidth="1" min="8" max="8" style="1635" width="3.7109375"/>
    <col customWidth="1" min="9" max="9" style="1635" width="5.00390625"/>
    <col customWidth="1" min="10" max="11" style="1635" width="24.00390625"/>
    <col customWidth="1" min="12" max="12" style="1635" width="3.00390625"/>
    <col customWidth="1" min="13" max="13" style="1635" width="6.00390625"/>
    <col customWidth="1" min="14" max="14" style="1635" width="25.00390625"/>
    <col customWidth="1" min="15" max="18" style="1635" width="18.00390625"/>
    <col customWidth="1" min="19" max="19" style="1635" width="93.00390625"/>
    <col customWidth="1" min="20" max="20" style="1635" width="10.00390625"/>
    <col customWidth="1" min="21" max="21" style="1642" width="10.00390625"/>
    <col customWidth="1" min="22" max="22" style="1642" width="11.00390625"/>
    <col customWidth="1" min="23" max="27" style="1632" width="10.00390625"/>
    <col customWidth="1" min="28" max="83" style="1635" width="8.00390625"/>
    <col hidden="1" min="84" max="84" style="1635" width="9.140625"/>
  </cols>
  <sheetData>
    <row r="1" ht="22.5" hidden="1" customHeight="1">
      <c r="CF1" s="505" t="s">
        <v>14</v>
      </c>
    </row>
    <row r="2" ht="11.25" hidden="1" customHeight="1">
      <c r="CF2" s="505">
        <v>0</v>
      </c>
    </row>
    <row r="3" ht="11.25" hidden="1" customHeight="1">
      <c r="CF3" s="505">
        <v>0</v>
      </c>
    </row>
    <row r="4" ht="3" customHeight="1">
      <c r="C4" s="509"/>
      <c r="D4" s="509"/>
      <c r="E4" s="509"/>
      <c r="F4" s="509"/>
      <c r="G4" s="509"/>
      <c r="H4" s="509"/>
      <c r="I4" s="509"/>
      <c r="J4" s="509"/>
      <c r="K4" s="166"/>
      <c r="L4" s="166"/>
      <c r="M4" s="166"/>
      <c r="CF4" s="505">
        <v>3</v>
      </c>
    </row>
    <row r="5" ht="29.25" customHeight="1">
      <c r="C5" s="509"/>
      <c r="D5" s="1057"/>
      <c r="E5" s="2237" t="str">
        <f>FHD20_NAME_FORM</f>
        <v xml:space="preserve">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7"/>
      <c r="G5" s="2237"/>
      <c r="H5" s="2237"/>
      <c r="I5" s="2237"/>
      <c r="J5" s="2237"/>
      <c r="K5" s="2237"/>
      <c r="L5" s="613"/>
      <c r="M5" s="613"/>
      <c r="CF5" s="505">
        <v>28</v>
      </c>
    </row>
    <row r="6" s="1635" customFormat="1" ht="16.800000000000001" customHeight="1">
      <c r="A6" s="610"/>
      <c r="B6" s="759"/>
      <c r="C6" s="509"/>
      <c r="D6" s="1058"/>
      <c r="E6" s="2176" t="str">
        <f>IF(org=0,"Не определено",org)</f>
        <v xml:space="preserve">филиал ПАО "ОГК-2" - Рязанская ГРЭС</v>
      </c>
      <c r="F6" s="2176"/>
      <c r="G6" s="2176"/>
      <c r="H6" s="2176"/>
      <c r="I6" s="2176"/>
      <c r="J6" s="2176"/>
      <c r="K6" s="2176"/>
      <c r="L6" s="613"/>
      <c r="M6" s="613"/>
      <c r="U6" s="611"/>
      <c r="V6" s="611"/>
      <c r="W6" s="612"/>
      <c r="X6" s="759"/>
      <c r="Y6" s="759"/>
      <c r="Z6" s="759"/>
      <c r="AA6" s="759"/>
      <c r="CF6" s="758">
        <v>16</v>
      </c>
    </row>
    <row r="7" ht="11.5" customHeight="1">
      <c r="C7" s="509"/>
      <c r="D7" s="509"/>
      <c r="E7" s="509"/>
      <c r="F7" s="509"/>
      <c r="G7" s="522"/>
      <c r="H7" s="522"/>
      <c r="I7" s="522"/>
      <c r="J7" s="522"/>
      <c r="K7" s="614"/>
      <c r="L7" s="614"/>
      <c r="M7" s="614"/>
      <c r="R7" s="752"/>
      <c r="CF7" s="505">
        <v>11</v>
      </c>
    </row>
    <row r="8" s="1641" customFormat="1" ht="4.2000000000000002" customHeight="1">
      <c r="A8" s="621"/>
      <c r="B8" s="566"/>
      <c r="C8" s="351"/>
      <c r="D8" s="351"/>
      <c r="E8" s="351"/>
      <c r="F8" s="351"/>
      <c r="G8" s="975"/>
      <c r="H8" s="975"/>
      <c r="I8" s="975"/>
      <c r="J8" s="975"/>
      <c r="K8" s="1018"/>
      <c r="L8" s="1018"/>
      <c r="M8" s="1018"/>
      <c r="R8" s="1019"/>
      <c r="U8" s="611"/>
      <c r="V8" s="611"/>
      <c r="W8" s="622"/>
      <c r="X8" s="566"/>
      <c r="Y8" s="566"/>
      <c r="Z8" s="566"/>
      <c r="AA8" s="566"/>
      <c r="CF8" s="496">
        <v>4</v>
      </c>
    </row>
    <row r="9" ht="19.949999999999999" customHeight="1">
      <c r="D9" s="289"/>
      <c r="E9" s="2101" t="s">
        <v>302</v>
      </c>
      <c r="F9" s="2102"/>
      <c r="G9" s="2102"/>
      <c r="H9" s="2102"/>
      <c r="I9" s="2102"/>
      <c r="J9" s="2102"/>
      <c r="K9" s="2102"/>
      <c r="L9" s="2102"/>
      <c r="M9" s="2102"/>
      <c r="N9" s="2102"/>
      <c r="O9" s="2102"/>
      <c r="P9" s="2102"/>
      <c r="Q9" s="2102"/>
      <c r="R9" s="2103"/>
      <c r="S9" s="2127" t="s">
        <v>303</v>
      </c>
      <c r="T9" s="334"/>
      <c r="CF9" s="505">
        <v>19</v>
      </c>
    </row>
    <row r="10" ht="48.25" customHeight="1">
      <c r="D10" s="551" t="s">
        <v>87</v>
      </c>
      <c r="E10" s="2127" t="s">
        <v>87</v>
      </c>
      <c r="F10" s="2127"/>
      <c r="G10" s="521" t="s">
        <v>304</v>
      </c>
      <c r="H10" s="2127" t="s">
        <v>87</v>
      </c>
      <c r="I10" s="2127"/>
      <c r="J10" s="521" t="s">
        <v>604</v>
      </c>
      <c r="K10" s="521" t="s">
        <v>605</v>
      </c>
      <c r="L10" s="2127" t="s">
        <v>87</v>
      </c>
      <c r="M10" s="2127"/>
      <c r="N10" s="521" t="s">
        <v>606</v>
      </c>
      <c r="O10" s="521" t="s">
        <v>607</v>
      </c>
      <c r="P10" s="521" t="s">
        <v>608</v>
      </c>
      <c r="Q10" s="521" t="s">
        <v>609</v>
      </c>
      <c r="R10" s="521" t="s">
        <v>610</v>
      </c>
      <c r="S10" s="2127"/>
      <c r="T10" s="334"/>
      <c r="CF10" s="505">
        <v>46</v>
      </c>
    </row>
    <row r="11" s="1642" customFormat="1" ht="15" hidden="1" customHeight="1">
      <c r="A11" s="1052"/>
      <c r="D11" s="1025" t="s">
        <v>109</v>
      </c>
      <c r="E11" s="1025"/>
      <c r="F11" s="1025" t="s">
        <v>110</v>
      </c>
      <c r="G11" s="1025" t="s">
        <v>89</v>
      </c>
      <c r="H11" s="1025"/>
      <c r="I11" s="1025" t="s">
        <v>90</v>
      </c>
      <c r="J11" s="1025" t="s">
        <v>111</v>
      </c>
      <c r="K11" s="1025" t="s">
        <v>91</v>
      </c>
      <c r="L11" s="1025"/>
      <c r="M11" s="1025" t="s">
        <v>92</v>
      </c>
      <c r="N11" s="1025" t="s">
        <v>112</v>
      </c>
      <c r="O11" s="1025" t="s">
        <v>152</v>
      </c>
      <c r="P11" s="1025" t="s">
        <v>153</v>
      </c>
      <c r="Q11" s="1025" t="s">
        <v>154</v>
      </c>
      <c r="R11" s="1025" t="s">
        <v>155</v>
      </c>
      <c r="S11" s="1025" t="s">
        <v>156</v>
      </c>
      <c r="U11" s="611"/>
      <c r="V11" s="611"/>
      <c r="W11" s="611"/>
      <c r="CF11" s="511">
        <v>0</v>
      </c>
    </row>
    <row r="12" s="1635" customFormat="1" ht="1.05" customHeight="1">
      <c r="A12" s="615"/>
      <c r="B12" s="362"/>
      <c r="D12" s="548"/>
      <c r="E12" s="346"/>
      <c r="F12" s="346"/>
      <c r="Q12" s="616"/>
      <c r="R12" s="617"/>
      <c r="T12" s="618"/>
      <c r="U12" s="619"/>
      <c r="V12" s="619"/>
      <c r="W12" s="620"/>
      <c r="X12" s="362"/>
      <c r="Y12" s="362"/>
      <c r="Z12" s="362"/>
      <c r="AA12" s="362"/>
      <c r="CF12" s="509">
        <v>1</v>
      </c>
    </row>
    <row r="13" s="1641" customFormat="1" ht="1.05" customHeight="1">
      <c r="A13" s="621"/>
      <c r="B13" s="566"/>
      <c r="D13" s="548" t="s">
        <v>378</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r="14" s="1850" customFormat="1" ht="15" hidden="1" customHeight="1">
      <c r="A14" s="623" t="s">
        <v>117</v>
      </c>
      <c r="B14" s="624"/>
      <c r="C14" s="624"/>
      <c r="D14" s="2380" t="s">
        <v>109</v>
      </c>
      <c r="E14" s="2377" t="s">
        <v>105</v>
      </c>
      <c r="F14" s="2378"/>
      <c r="G14" s="2379"/>
      <c r="H14" s="2383" t="str">
        <f>IF(A14="","",INDEX(DIFFERENTIATION_UNMERGE_VD,MATCH(A14,DIFFERENTIATION_ID_DIFF,0)))</f>
        <v>Водоотведение</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22</v>
      </c>
      <c r="AF14" s="630"/>
      <c r="AG14" s="631" t="s">
        <v>611</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r="15" s="1850" customFormat="1" ht="15" hidden="1" customHeight="1">
      <c r="A15" s="623"/>
      <c r="B15" s="624"/>
      <c r="C15" s="624"/>
      <c r="D15" s="2381"/>
      <c r="E15" s="2377" t="s">
        <v>566</v>
      </c>
      <c r="F15" s="2378"/>
      <c r="G15" s="2379"/>
      <c r="H15" s="2383" t="str">
        <f>IF(A14="","",INDEX(DIFFERENTIATION_UNMERGE_AREA,MATCH(A14,DIFFERENTIATION_ID_DIFF,0)))</f>
        <v xml:space="preserve">без дифференциации</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r="16" s="1850" customFormat="1" ht="15" hidden="1" customHeight="1">
      <c r="A16" s="623"/>
      <c r="B16" s="624"/>
      <c r="C16" s="624"/>
      <c r="D16" s="2381"/>
      <c r="E16" s="2377" t="s">
        <v>567</v>
      </c>
      <c r="F16" s="2378"/>
      <c r="G16" s="2379"/>
      <c r="H16" s="2383" t="str">
        <f>IF(A14="","",INDEX(DIFFERENTIATION_UNMERGE_SYSTEM,MATCH(A14,DIFFERENTIATION_ID_DIFF,0)))</f>
        <v xml:space="preserve">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r="17" s="1850" customFormat="1" ht="22.5" hidden="1" customHeight="1">
      <c r="A17" s="633"/>
      <c r="B17" s="417"/>
      <c r="C17" s="412"/>
      <c r="D17" s="2381"/>
      <c r="E17" s="2376" t="s">
        <v>612</v>
      </c>
      <c r="F17" s="2376"/>
      <c r="G17" s="2376"/>
      <c r="H17" s="2376"/>
      <c r="I17" s="2376"/>
      <c r="J17" s="2376"/>
      <c r="K17" s="2376"/>
      <c r="L17" s="2376"/>
      <c r="M17" s="2376"/>
      <c r="N17" s="2376"/>
      <c r="O17" s="2376"/>
      <c r="P17" s="2376"/>
      <c r="Q17" s="558">
        <f>SUMIF(T18:T19,"i",Q18:Q19)</f>
        <v>0</v>
      </c>
      <c r="R17" s="1017"/>
      <c r="S17" s="897" t="s">
        <v>613</v>
      </c>
      <c r="T17" s="717" t="s">
        <v>614</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r="18" s="1850" customFormat="1" ht="11.25" hidden="1" customHeight="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r="19" s="1850" customFormat="1" ht="11.25" hidden="1" customHeight="1">
      <c r="A19" s="633"/>
      <c r="B19" s="417"/>
      <c r="C19" s="412"/>
      <c r="D19" s="2381"/>
      <c r="E19" s="649" t="s">
        <v>22</v>
      </c>
      <c r="F19" s="650" t="s">
        <v>22</v>
      </c>
      <c r="G19" s="650" t="s">
        <v>22</v>
      </c>
      <c r="H19" s="651" t="s">
        <v>22</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r="20" s="1850" customFormat="1" ht="22.5" hidden="1" customHeight="1">
      <c r="A20" s="633"/>
      <c r="B20" s="417"/>
      <c r="C20" s="412"/>
      <c r="D20" s="2381"/>
      <c r="E20" s="2376" t="s">
        <v>615</v>
      </c>
      <c r="F20" s="2376"/>
      <c r="G20" s="2376"/>
      <c r="H20" s="2376"/>
      <c r="I20" s="2376"/>
      <c r="J20" s="2376"/>
      <c r="K20" s="2376"/>
      <c r="L20" s="2376"/>
      <c r="M20" s="2376"/>
      <c r="N20" s="2376"/>
      <c r="O20" s="2376"/>
      <c r="P20" s="2376"/>
      <c r="Q20" s="558">
        <f>SUMIF(T21:T22,"i",Q21:Q22)</f>
        <v>0</v>
      </c>
      <c r="R20" s="1017"/>
      <c r="S20" s="709" t="s">
        <v>616</v>
      </c>
      <c r="T20" s="717" t="s">
        <v>614</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r="21" s="1850" customFormat="1" ht="11.25" hidden="1" customHeight="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r="22" s="1850" customFormat="1" ht="11.25" hidden="1" customHeight="1">
      <c r="A22" s="633"/>
      <c r="B22" s="417"/>
      <c r="C22" s="412"/>
      <c r="D22" s="2382"/>
      <c r="E22" s="649" t="s">
        <v>22</v>
      </c>
      <c r="F22" s="650" t="s">
        <v>22</v>
      </c>
      <c r="G22" s="650" t="s">
        <v>22</v>
      </c>
      <c r="H22" s="651" t="s">
        <v>22</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r="23" ht="15" hidden="1" customHeight="1">
      <c r="A23" s="623" t="s">
        <v>123</v>
      </c>
      <c r="B23" s="624"/>
      <c r="C23" s="624" t="s">
        <v>22</v>
      </c>
      <c r="D23" s="2578" t="s">
        <v>154</v>
      </c>
      <c r="E23" s="2377" t="s">
        <v>105</v>
      </c>
      <c r="F23" s="2378"/>
      <c r="G23" s="2379"/>
      <c r="H23" s="2383" t="str">
        <f>IF(A23="","",INDEX(DIFFERENTIATION_UNMERGE_VD,MATCH(A23,DIFFERENTIATION_ID_DIFF,0)))</f>
        <v>Транспортировка</v>
      </c>
      <c r="I23" s="2383"/>
      <c r="J23" s="2383"/>
      <c r="K23" s="2383"/>
      <c r="L23" s="2383"/>
      <c r="M23" s="2383"/>
      <c r="N23" s="2383"/>
      <c r="O23" s="2383"/>
      <c r="P23" s="2383"/>
      <c r="Q23" s="2383"/>
      <c r="R23" s="2383"/>
      <c r="S23" s="719"/>
      <c r="T23" s="716"/>
      <c r="U23" s="625"/>
      <c r="V23" s="625"/>
      <c r="W23" s="626"/>
      <c r="X23" s="626"/>
      <c r="Y23" s="626"/>
      <c r="Z23" s="626"/>
      <c r="AA23" s="627"/>
      <c r="AB23" s="628"/>
      <c r="AC23" s="2375"/>
      <c r="AD23" s="629"/>
      <c r="AE23" s="630" t="s">
        <v>22</v>
      </c>
      <c r="AF23" s="630"/>
      <c r="AG23" s="631" t="s">
        <v>611</v>
      </c>
      <c r="AH23" s="632">
        <v>3</v>
      </c>
      <c r="AI23" s="625"/>
      <c r="AJ23" s="625"/>
      <c r="AK23" s="625"/>
      <c r="AL23" s="625"/>
      <c r="AM23" s="625"/>
      <c r="AN23" s="625"/>
      <c r="AO23" s="625"/>
      <c r="AP23" s="625"/>
      <c r="AQ23" s="625"/>
      <c r="AR23" s="625"/>
      <c r="AS23" s="625"/>
      <c r="AT23" s="625"/>
      <c r="AU23" s="625"/>
      <c r="AV23" s="625"/>
      <c r="AW23" s="625"/>
      <c r="AX23" s="625"/>
      <c r="AY23" s="625"/>
      <c r="AZ23" s="625"/>
      <c r="BA23" s="625"/>
      <c r="BB23" s="625"/>
      <c r="BC23" s="625"/>
      <c r="BD23" s="625"/>
      <c r="BE23" s="625"/>
      <c r="BF23" s="625"/>
      <c r="BG23" s="625"/>
      <c r="BH23" s="625"/>
      <c r="BI23" s="625"/>
      <c r="BJ23" s="625"/>
      <c r="BK23" s="625"/>
      <c r="BL23" s="625"/>
      <c r="BM23" s="625"/>
      <c r="BN23" s="625"/>
      <c r="BO23" s="625"/>
      <c r="BP23" s="625"/>
      <c r="BQ23" s="625"/>
      <c r="BR23" s="625"/>
      <c r="BS23" s="625"/>
      <c r="BT23" s="625"/>
      <c r="BU23" s="625"/>
      <c r="BV23" s="626"/>
      <c r="BW23" s="626"/>
      <c r="BX23" s="626"/>
      <c r="BY23" s="626"/>
      <c r="BZ23" s="626"/>
      <c r="CA23" s="626"/>
      <c r="CB23" s="626"/>
      <c r="CC23" s="626"/>
      <c r="CD23" s="626"/>
      <c r="CE23" s="626"/>
      <c r="CF23" s="1850"/>
    </row>
    <row r="24" ht="15" hidden="1" customHeight="1">
      <c r="A24" s="623"/>
      <c r="B24" s="624"/>
      <c r="C24" s="624"/>
      <c r="D24" s="2579"/>
      <c r="E24" s="2377" t="s">
        <v>566</v>
      </c>
      <c r="F24" s="2378"/>
      <c r="G24" s="2379"/>
      <c r="H24" s="2383" t="str">
        <f>IF(A23="","",INDEX(DIFFERENTIATION_UNMERGE_AREA,MATCH(A23,DIFFERENTIATION_ID_DIFF,0)))</f>
        <v xml:space="preserve">без дифференциации</v>
      </c>
      <c r="I24" s="2383"/>
      <c r="J24" s="2383"/>
      <c r="K24" s="2383"/>
      <c r="L24" s="2383"/>
      <c r="M24" s="2383"/>
      <c r="N24" s="2383"/>
      <c r="O24" s="2383"/>
      <c r="P24" s="2383"/>
      <c r="Q24" s="2383"/>
      <c r="R24" s="2383"/>
      <c r="S24" s="719"/>
      <c r="T24" s="716"/>
      <c r="U24" s="625"/>
      <c r="V24" s="625"/>
      <c r="W24" s="626"/>
      <c r="X24" s="626"/>
      <c r="Y24" s="626"/>
      <c r="Z24" s="626"/>
      <c r="AA24" s="627"/>
      <c r="AB24" s="628"/>
      <c r="AC24" s="2375"/>
      <c r="AD24" s="629"/>
      <c r="AE24" s="630"/>
      <c r="AF24" s="630"/>
      <c r="AG24" s="631"/>
      <c r="AH24" s="632"/>
      <c r="AI24" s="625"/>
      <c r="AJ24" s="625"/>
      <c r="AK24" s="625"/>
      <c r="AL24" s="625"/>
      <c r="AM24" s="625"/>
      <c r="AN24" s="625"/>
      <c r="AO24" s="625"/>
      <c r="AP24" s="625"/>
      <c r="AQ24" s="625"/>
      <c r="AR24" s="625"/>
      <c r="AS24" s="625"/>
      <c r="AT24" s="625"/>
      <c r="AU24" s="625"/>
      <c r="AV24" s="625"/>
      <c r="AW24" s="625"/>
      <c r="AX24" s="625"/>
      <c r="AY24" s="625"/>
      <c r="AZ24" s="625"/>
      <c r="BA24" s="625"/>
      <c r="BB24" s="625"/>
      <c r="BC24" s="625"/>
      <c r="BD24" s="625"/>
      <c r="BE24" s="625"/>
      <c r="BF24" s="625"/>
      <c r="BG24" s="625"/>
      <c r="BH24" s="625"/>
      <c r="BI24" s="625"/>
      <c r="BJ24" s="625"/>
      <c r="BK24" s="625"/>
      <c r="BL24" s="625"/>
      <c r="BM24" s="625"/>
      <c r="BN24" s="625"/>
      <c r="BO24" s="625"/>
      <c r="BP24" s="625"/>
      <c r="BQ24" s="625"/>
      <c r="BR24" s="625"/>
      <c r="BS24" s="625"/>
      <c r="BT24" s="625"/>
      <c r="BU24" s="625"/>
      <c r="BV24" s="626"/>
      <c r="BW24" s="626"/>
      <c r="BX24" s="626"/>
      <c r="BY24" s="626"/>
      <c r="BZ24" s="626"/>
      <c r="CA24" s="626"/>
      <c r="CB24" s="626"/>
      <c r="CC24" s="626"/>
      <c r="CD24" s="626"/>
      <c r="CE24" s="626"/>
      <c r="CF24" s="1850"/>
    </row>
    <row r="25" ht="15" hidden="1" customHeight="1">
      <c r="A25" s="623"/>
      <c r="B25" s="624"/>
      <c r="C25" s="624"/>
      <c r="D25" s="2579"/>
      <c r="E25" s="2377" t="s">
        <v>567</v>
      </c>
      <c r="F25" s="2378"/>
      <c r="G25" s="2379"/>
      <c r="H25" s="2383" t="str">
        <f>IF(A23="","",INDEX(DIFFERENTIATION_UNMERGE_SYSTEM,MATCH(A23,DIFFERENTIATION_ID_DIFF,0)))</f>
        <v xml:space="preserve">без дифференциации</v>
      </c>
      <c r="I25" s="2383"/>
      <c r="J25" s="2383"/>
      <c r="K25" s="2383"/>
      <c r="L25" s="2383"/>
      <c r="M25" s="2383"/>
      <c r="N25" s="2383"/>
      <c r="O25" s="2383"/>
      <c r="P25" s="2383"/>
      <c r="Q25" s="2383"/>
      <c r="R25" s="2383"/>
      <c r="S25" s="719"/>
      <c r="T25" s="716"/>
      <c r="U25" s="625"/>
      <c r="V25" s="625"/>
      <c r="W25" s="626"/>
      <c r="X25" s="626"/>
      <c r="Y25" s="626"/>
      <c r="Z25" s="626"/>
      <c r="AA25" s="627"/>
      <c r="AB25" s="628"/>
      <c r="AC25" s="2375"/>
      <c r="AD25" s="629"/>
      <c r="AE25" s="630"/>
      <c r="AF25" s="630"/>
      <c r="AG25" s="631"/>
      <c r="AH25" s="632"/>
      <c r="AI25" s="625"/>
      <c r="AJ25" s="625"/>
      <c r="AK25" s="625"/>
      <c r="AL25" s="625"/>
      <c r="AM25" s="625"/>
      <c r="AN25" s="625"/>
      <c r="AO25" s="625"/>
      <c r="AP25" s="625"/>
      <c r="AQ25" s="625"/>
      <c r="AR25" s="625"/>
      <c r="AS25" s="625"/>
      <c r="AT25" s="625"/>
      <c r="AU25" s="625"/>
      <c r="AV25" s="625"/>
      <c r="AW25" s="625"/>
      <c r="AX25" s="625"/>
      <c r="AY25" s="625"/>
      <c r="AZ25" s="625"/>
      <c r="BA25" s="625"/>
      <c r="BB25" s="625"/>
      <c r="BC25" s="625"/>
      <c r="BD25" s="625"/>
      <c r="BE25" s="625"/>
      <c r="BF25" s="625"/>
      <c r="BG25" s="625"/>
      <c r="BH25" s="625"/>
      <c r="BI25" s="625"/>
      <c r="BJ25" s="625"/>
      <c r="BK25" s="625"/>
      <c r="BL25" s="625"/>
      <c r="BM25" s="625"/>
      <c r="BN25" s="625"/>
      <c r="BO25" s="625"/>
      <c r="BP25" s="625"/>
      <c r="BQ25" s="625"/>
      <c r="BR25" s="625"/>
      <c r="BS25" s="625"/>
      <c r="BT25" s="625"/>
      <c r="BU25" s="625"/>
      <c r="BV25" s="626"/>
      <c r="BW25" s="626"/>
      <c r="BX25" s="626"/>
      <c r="BY25" s="626"/>
      <c r="BZ25" s="626"/>
      <c r="CA25" s="626"/>
      <c r="CB25" s="626"/>
      <c r="CC25" s="626"/>
      <c r="CD25" s="626"/>
      <c r="CE25" s="626"/>
      <c r="CF25" s="1850"/>
    </row>
    <row r="26" ht="24.75" hidden="1" customHeight="1">
      <c r="A26" s="1806"/>
      <c r="B26" s="1160"/>
      <c r="C26" s="412"/>
      <c r="D26" s="2579"/>
      <c r="E26" s="2376" t="s">
        <v>612</v>
      </c>
      <c r="F26" s="2376"/>
      <c r="G26" s="2376"/>
      <c r="H26" s="2376"/>
      <c r="I26" s="2376"/>
      <c r="J26" s="2376"/>
      <c r="K26" s="2376"/>
      <c r="L26" s="2376"/>
      <c r="M26" s="2376"/>
      <c r="N26" s="2376"/>
      <c r="O26" s="2376"/>
      <c r="P26" s="2376"/>
      <c r="Q26" s="558">
        <f>SUMIF(T27:T28,"i",Q27:Q28)</f>
        <v>0</v>
      </c>
      <c r="R26" s="1017"/>
      <c r="S26" s="1798" t="s">
        <v>613</v>
      </c>
      <c r="T26" s="717" t="s">
        <v>614</v>
      </c>
      <c r="U26" s="2374">
        <v>1</v>
      </c>
      <c r="V26" s="2374" t="s">
        <v>577</v>
      </c>
      <c r="W26" s="1160"/>
      <c r="X26" s="1160"/>
      <c r="Y26" s="1160"/>
      <c r="Z26" s="1160"/>
      <c r="AA26" s="1636"/>
      <c r="AB26" s="1160"/>
      <c r="AC26" s="2375"/>
      <c r="AD26" s="629"/>
      <c r="AE26" s="1160"/>
      <c r="AF26" s="1160"/>
      <c r="AG26" s="1636"/>
      <c r="AH26" s="1636"/>
      <c r="AI26" s="1636"/>
      <c r="AJ26" s="1636"/>
      <c r="AK26" s="1636"/>
      <c r="AL26" s="1636"/>
      <c r="AM26" s="1636"/>
      <c r="AN26" s="1636"/>
      <c r="AO26" s="1636"/>
      <c r="AP26" s="1636"/>
      <c r="AQ26" s="1636"/>
      <c r="AR26" s="1636"/>
      <c r="AS26" s="1636"/>
      <c r="AT26" s="1636"/>
      <c r="AU26" s="1636"/>
      <c r="AV26" s="1636"/>
      <c r="AW26" s="1636"/>
      <c r="AX26" s="1636"/>
      <c r="AY26" s="1636"/>
      <c r="AZ26" s="1636"/>
      <c r="BA26" s="1636"/>
      <c r="BB26" s="1636"/>
      <c r="BC26" s="1636"/>
      <c r="BD26" s="1636"/>
      <c r="BE26" s="1636"/>
      <c r="BF26" s="1636"/>
      <c r="BG26" s="1636"/>
      <c r="BH26" s="1636"/>
      <c r="BI26" s="1636"/>
      <c r="BJ26" s="1636"/>
      <c r="BK26" s="1636"/>
      <c r="BL26" s="1636"/>
      <c r="BM26" s="1636"/>
      <c r="BN26" s="1636"/>
      <c r="BO26" s="1636"/>
      <c r="BP26" s="1636"/>
      <c r="BQ26" s="1636"/>
      <c r="BR26" s="1636"/>
      <c r="BS26" s="1636"/>
      <c r="BT26" s="1636"/>
      <c r="BU26" s="1636"/>
      <c r="BV26" s="1160"/>
      <c r="BW26" s="1160"/>
      <c r="BX26" s="1160"/>
      <c r="BY26" s="1160"/>
      <c r="BZ26" s="1160"/>
      <c r="CA26" s="1160"/>
      <c r="CB26" s="1160"/>
      <c r="CC26" s="1160"/>
      <c r="CD26" s="1160"/>
      <c r="CE26" s="1160"/>
      <c r="CF26" s="1850"/>
    </row>
    <row r="27" ht="11.25" hidden="1" customHeight="1">
      <c r="A27" s="1793"/>
      <c r="B27" s="1636"/>
      <c r="C27" s="1636"/>
      <c r="D27" s="2579"/>
      <c r="E27" s="635"/>
      <c r="F27" s="635">
        <v>0</v>
      </c>
      <c r="G27" s="635"/>
      <c r="H27" s="635"/>
      <c r="I27" s="635"/>
      <c r="J27" s="635"/>
      <c r="K27" s="635"/>
      <c r="L27" s="635"/>
      <c r="M27" s="635"/>
      <c r="N27" s="635"/>
      <c r="O27" s="635"/>
      <c r="P27" s="635"/>
      <c r="Q27" s="635"/>
      <c r="R27" s="635"/>
      <c r="S27" s="636"/>
      <c r="T27" s="718"/>
      <c r="U27" s="2374"/>
      <c r="V27" s="2374"/>
      <c r="W27" s="1636"/>
      <c r="X27" s="1636"/>
      <c r="Y27" s="1636"/>
      <c r="Z27" s="1636"/>
      <c r="AA27" s="1636"/>
      <c r="AB27" s="1160"/>
      <c r="AC27" s="2375"/>
      <c r="AD27" s="629"/>
      <c r="AE27" s="1160"/>
      <c r="AF27" s="1160"/>
      <c r="AG27" s="1636"/>
      <c r="AH27" s="1636"/>
      <c r="AI27" s="1636"/>
      <c r="AJ27" s="1636"/>
      <c r="AK27" s="1636"/>
      <c r="AL27" s="1636"/>
      <c r="AM27" s="1636"/>
      <c r="AN27" s="1636"/>
      <c r="AO27" s="1636"/>
      <c r="AP27" s="1636"/>
      <c r="AQ27" s="1636"/>
      <c r="AR27" s="1636"/>
      <c r="AS27" s="1636"/>
      <c r="AT27" s="1636"/>
      <c r="AU27" s="1636"/>
      <c r="AV27" s="1636"/>
      <c r="AW27" s="1636"/>
      <c r="AX27" s="1636"/>
      <c r="AY27" s="1636"/>
      <c r="AZ27" s="1636"/>
      <c r="BA27" s="1636"/>
      <c r="BB27" s="1636"/>
      <c r="BC27" s="1636"/>
      <c r="BD27" s="1636"/>
      <c r="BE27" s="1636"/>
      <c r="BF27" s="1636"/>
      <c r="BG27" s="1636"/>
      <c r="BH27" s="1636"/>
      <c r="BI27" s="1636"/>
      <c r="BJ27" s="1636"/>
      <c r="BK27" s="1636"/>
      <c r="BL27" s="1636"/>
      <c r="BM27" s="1636"/>
      <c r="BN27" s="1636"/>
      <c r="BO27" s="1636"/>
      <c r="BP27" s="1636"/>
      <c r="BQ27" s="1636"/>
      <c r="BR27" s="1636"/>
      <c r="BS27" s="1636"/>
      <c r="BT27" s="1636"/>
      <c r="BU27" s="1636"/>
      <c r="BV27" s="1636"/>
      <c r="BW27" s="1636"/>
      <c r="BX27" s="1636"/>
      <c r="BY27" s="1636"/>
      <c r="BZ27" s="1636"/>
      <c r="CA27" s="1636"/>
      <c r="CB27" s="1636"/>
      <c r="CC27" s="1636"/>
      <c r="CD27" s="1636"/>
      <c r="CE27" s="1636"/>
      <c r="CF27" s="1850"/>
    </row>
    <row r="28" ht="11.25" hidden="1" customHeight="1">
      <c r="A28" s="1806"/>
      <c r="B28" s="1160"/>
      <c r="C28" s="412"/>
      <c r="D28" s="2579"/>
      <c r="E28" s="649" t="s">
        <v>22</v>
      </c>
      <c r="F28" s="1168" t="s">
        <v>22</v>
      </c>
      <c r="G28" s="1168" t="s">
        <v>617</v>
      </c>
      <c r="H28" s="651" t="s">
        <v>22</v>
      </c>
      <c r="I28" s="651"/>
      <c r="J28" s="651"/>
      <c r="K28" s="651"/>
      <c r="L28" s="651"/>
      <c r="M28" s="651"/>
      <c r="N28" s="651"/>
      <c r="O28" s="651"/>
      <c r="P28" s="651"/>
      <c r="Q28" s="651"/>
      <c r="R28" s="652"/>
      <c r="S28" s="653"/>
      <c r="T28" s="718"/>
      <c r="U28" s="2374"/>
      <c r="V28" s="2374"/>
      <c r="W28" s="1160"/>
      <c r="X28" s="1160"/>
      <c r="Y28" s="1160"/>
      <c r="Z28" s="1160"/>
      <c r="AA28" s="1636"/>
      <c r="AB28" s="1160"/>
      <c r="AC28" s="2375"/>
      <c r="AD28" s="629"/>
      <c r="AE28" s="1160"/>
      <c r="AF28" s="1160"/>
      <c r="AG28" s="1636"/>
      <c r="AH28" s="1636"/>
      <c r="AI28" s="1636"/>
      <c r="AJ28" s="1636"/>
      <c r="AK28" s="1636"/>
      <c r="AL28" s="1636"/>
      <c r="AM28" s="1636"/>
      <c r="AN28" s="1636"/>
      <c r="AO28" s="1636"/>
      <c r="AP28" s="1636"/>
      <c r="AQ28" s="1636"/>
      <c r="AR28" s="1636"/>
      <c r="AS28" s="1636"/>
      <c r="AT28" s="1636"/>
      <c r="AU28" s="1636"/>
      <c r="AV28" s="1636"/>
      <c r="AW28" s="1636"/>
      <c r="AX28" s="1636"/>
      <c r="AY28" s="1636"/>
      <c r="AZ28" s="1636"/>
      <c r="BA28" s="1636"/>
      <c r="BB28" s="1636"/>
      <c r="BC28" s="1636"/>
      <c r="BD28" s="1636"/>
      <c r="BE28" s="1636"/>
      <c r="BF28" s="1636"/>
      <c r="BG28" s="1636"/>
      <c r="BH28" s="1636"/>
      <c r="BI28" s="1636"/>
      <c r="BJ28" s="1636"/>
      <c r="BK28" s="1636"/>
      <c r="BL28" s="1636"/>
      <c r="BM28" s="1636"/>
      <c r="BN28" s="1636"/>
      <c r="BO28" s="1636"/>
      <c r="BP28" s="1636"/>
      <c r="BQ28" s="1636"/>
      <c r="BR28" s="1636"/>
      <c r="BS28" s="1636"/>
      <c r="BT28" s="1636"/>
      <c r="BU28" s="1636"/>
      <c r="BV28" s="1160"/>
      <c r="BW28" s="1160"/>
      <c r="BX28" s="1160"/>
      <c r="BY28" s="1160"/>
      <c r="BZ28" s="1160"/>
      <c r="CA28" s="1160"/>
      <c r="CB28" s="1160"/>
      <c r="CC28" s="1160"/>
      <c r="CD28" s="1160"/>
      <c r="CE28" s="1160"/>
      <c r="CF28" s="1850"/>
    </row>
    <row r="29" ht="24.75" hidden="1" customHeight="1">
      <c r="A29" s="1806"/>
      <c r="B29" s="1160"/>
      <c r="C29" s="412"/>
      <c r="D29" s="2579"/>
      <c r="E29" s="2376" t="s">
        <v>615</v>
      </c>
      <c r="F29" s="2376"/>
      <c r="G29" s="2376"/>
      <c r="H29" s="2376"/>
      <c r="I29" s="2376"/>
      <c r="J29" s="2376"/>
      <c r="K29" s="2376"/>
      <c r="L29" s="2376"/>
      <c r="M29" s="2376"/>
      <c r="N29" s="2376"/>
      <c r="O29" s="2376"/>
      <c r="P29" s="2376"/>
      <c r="Q29" s="558">
        <f>SUMIF(T30:T31,"i",Q30:Q31)</f>
        <v>0</v>
      </c>
      <c r="R29" s="1017"/>
      <c r="S29" s="1798" t="s">
        <v>616</v>
      </c>
      <c r="T29" s="717" t="s">
        <v>614</v>
      </c>
      <c r="U29" s="2374">
        <v>1</v>
      </c>
      <c r="V29" s="2374" t="s">
        <v>577</v>
      </c>
      <c r="W29" s="1160"/>
      <c r="X29" s="1160"/>
      <c r="Y29" s="1160"/>
      <c r="Z29" s="1160"/>
      <c r="AA29" s="1636"/>
      <c r="AB29" s="1160"/>
      <c r="AC29" s="1796"/>
      <c r="AD29" s="629"/>
      <c r="AE29" s="1160"/>
      <c r="AF29" s="1160"/>
      <c r="AG29" s="1636"/>
      <c r="AH29" s="1636"/>
      <c r="AI29" s="1636"/>
      <c r="AJ29" s="1636"/>
      <c r="AK29" s="1636"/>
      <c r="AL29" s="1636"/>
      <c r="AM29" s="1636"/>
      <c r="AN29" s="1636"/>
      <c r="AO29" s="1636"/>
      <c r="AP29" s="1636"/>
      <c r="AQ29" s="1636"/>
      <c r="AR29" s="1636"/>
      <c r="AS29" s="1636"/>
      <c r="AT29" s="1636"/>
      <c r="AU29" s="1636"/>
      <c r="AV29" s="1636"/>
      <c r="AW29" s="1636"/>
      <c r="AX29" s="1636"/>
      <c r="AY29" s="1636"/>
      <c r="AZ29" s="1636"/>
      <c r="BA29" s="1636"/>
      <c r="BB29" s="1636"/>
      <c r="BC29" s="1636"/>
      <c r="BD29" s="1636"/>
      <c r="BE29" s="1636"/>
      <c r="BF29" s="1636"/>
      <c r="BG29" s="1636"/>
      <c r="BH29" s="1636"/>
      <c r="BI29" s="1636"/>
      <c r="BJ29" s="1636"/>
      <c r="BK29" s="1636"/>
      <c r="BL29" s="1636"/>
      <c r="BM29" s="1636"/>
      <c r="BN29" s="1636"/>
      <c r="BO29" s="1636"/>
      <c r="BP29" s="1636"/>
      <c r="BQ29" s="1636"/>
      <c r="BR29" s="1636"/>
      <c r="BS29" s="1636"/>
      <c r="BT29" s="1636"/>
      <c r="BU29" s="1636"/>
      <c r="BV29" s="1160"/>
      <c r="BW29" s="1160"/>
      <c r="BX29" s="1160"/>
      <c r="BY29" s="1160"/>
      <c r="BZ29" s="1160"/>
      <c r="CA29" s="1160"/>
      <c r="CB29" s="1160"/>
      <c r="CC29" s="1160"/>
      <c r="CD29" s="1160"/>
      <c r="CE29" s="1160"/>
      <c r="CF29" s="1850"/>
    </row>
    <row r="30" ht="11.25" hidden="1" customHeight="1">
      <c r="A30" s="1793"/>
      <c r="B30" s="1636"/>
      <c r="C30" s="1636"/>
      <c r="D30" s="2579"/>
      <c r="E30" s="635"/>
      <c r="F30" s="635">
        <v>0</v>
      </c>
      <c r="G30" s="635"/>
      <c r="H30" s="635"/>
      <c r="I30" s="635"/>
      <c r="J30" s="635"/>
      <c r="K30" s="635"/>
      <c r="L30" s="635"/>
      <c r="M30" s="635"/>
      <c r="N30" s="635"/>
      <c r="O30" s="635"/>
      <c r="P30" s="635"/>
      <c r="Q30" s="635"/>
      <c r="R30" s="635"/>
      <c r="S30" s="636"/>
      <c r="T30" s="718"/>
      <c r="U30" s="2374"/>
      <c r="V30" s="2374"/>
      <c r="W30" s="1636"/>
      <c r="X30" s="1636"/>
      <c r="Y30" s="1636"/>
      <c r="Z30" s="1636"/>
      <c r="AA30" s="1636"/>
      <c r="AB30" s="1160"/>
      <c r="AC30" s="1796"/>
      <c r="AD30" s="629"/>
      <c r="AE30" s="1160"/>
      <c r="AF30" s="1160"/>
      <c r="AG30" s="1636"/>
      <c r="AH30" s="1636"/>
      <c r="AI30" s="1636"/>
      <c r="AJ30" s="1636"/>
      <c r="AK30" s="1636"/>
      <c r="AL30" s="1636"/>
      <c r="AM30" s="1636"/>
      <c r="AN30" s="1636"/>
      <c r="AO30" s="1636"/>
      <c r="AP30" s="1636"/>
      <c r="AQ30" s="1636"/>
      <c r="AR30" s="1636"/>
      <c r="AS30" s="1636"/>
      <c r="AT30" s="1636"/>
      <c r="AU30" s="1636"/>
      <c r="AV30" s="1636"/>
      <c r="AW30" s="1636"/>
      <c r="AX30" s="1636"/>
      <c r="AY30" s="1636"/>
      <c r="AZ30" s="1636"/>
      <c r="BA30" s="1636"/>
      <c r="BB30" s="1636"/>
      <c r="BC30" s="1636"/>
      <c r="BD30" s="1636"/>
      <c r="BE30" s="1636"/>
      <c r="BF30" s="1636"/>
      <c r="BG30" s="1636"/>
      <c r="BH30" s="1636"/>
      <c r="BI30" s="1636"/>
      <c r="BJ30" s="1636"/>
      <c r="BK30" s="1636"/>
      <c r="BL30" s="1636"/>
      <c r="BM30" s="1636"/>
      <c r="BN30" s="1636"/>
      <c r="BO30" s="1636"/>
      <c r="BP30" s="1636"/>
      <c r="BQ30" s="1636"/>
      <c r="BR30" s="1636"/>
      <c r="BS30" s="1636"/>
      <c r="BT30" s="1636"/>
      <c r="BU30" s="1636"/>
      <c r="BV30" s="1636"/>
      <c r="BW30" s="1636"/>
      <c r="BX30" s="1636"/>
      <c r="BY30" s="1636"/>
      <c r="BZ30" s="1636"/>
      <c r="CA30" s="1636"/>
      <c r="CB30" s="1636"/>
      <c r="CC30" s="1636"/>
      <c r="CD30" s="1636"/>
      <c r="CE30" s="1636"/>
      <c r="CF30" s="1850"/>
    </row>
    <row r="31" ht="11.25" hidden="1" customHeight="1">
      <c r="A31" s="1806"/>
      <c r="B31" s="1160"/>
      <c r="C31" s="412"/>
      <c r="D31" s="2580"/>
      <c r="E31" s="649" t="s">
        <v>22</v>
      </c>
      <c r="F31" s="1168" t="s">
        <v>22</v>
      </c>
      <c r="G31" s="1168" t="s">
        <v>617</v>
      </c>
      <c r="H31" s="651" t="s">
        <v>22</v>
      </c>
      <c r="I31" s="651"/>
      <c r="J31" s="651"/>
      <c r="K31" s="651"/>
      <c r="L31" s="651"/>
      <c r="M31" s="651"/>
      <c r="N31" s="651"/>
      <c r="O31" s="651"/>
      <c r="P31" s="651"/>
      <c r="Q31" s="651"/>
      <c r="R31" s="652"/>
      <c r="S31" s="653"/>
      <c r="T31" s="718"/>
      <c r="U31" s="2374"/>
      <c r="V31" s="2374"/>
      <c r="W31" s="1160"/>
      <c r="X31" s="1160"/>
      <c r="Y31" s="1160"/>
      <c r="Z31" s="1160"/>
      <c r="AA31" s="1636"/>
      <c r="AB31" s="1160"/>
      <c r="AC31" s="1796"/>
      <c r="AD31" s="629"/>
      <c r="AE31" s="1160"/>
      <c r="AF31" s="1160"/>
      <c r="AG31" s="1636"/>
      <c r="AH31" s="1636"/>
      <c r="AI31" s="1636"/>
      <c r="AJ31" s="1636"/>
      <c r="AK31" s="1636"/>
      <c r="AL31" s="1636"/>
      <c r="AM31" s="1636"/>
      <c r="AN31" s="1636"/>
      <c r="AO31" s="1636"/>
      <c r="AP31" s="1636"/>
      <c r="AQ31" s="1636"/>
      <c r="AR31" s="1636"/>
      <c r="AS31" s="1636"/>
      <c r="AT31" s="1636"/>
      <c r="AU31" s="1636"/>
      <c r="AV31" s="1636"/>
      <c r="AW31" s="1636"/>
      <c r="AX31" s="1636"/>
      <c r="AY31" s="1636"/>
      <c r="AZ31" s="1636"/>
      <c r="BA31" s="1636"/>
      <c r="BB31" s="1636"/>
      <c r="BC31" s="1636"/>
      <c r="BD31" s="1636"/>
      <c r="BE31" s="1636"/>
      <c r="BF31" s="1636"/>
      <c r="BG31" s="1636"/>
      <c r="BH31" s="1636"/>
      <c r="BI31" s="1636"/>
      <c r="BJ31" s="1636"/>
      <c r="BK31" s="1636"/>
      <c r="BL31" s="1636"/>
      <c r="BM31" s="1636"/>
      <c r="BN31" s="1636"/>
      <c r="BO31" s="1636"/>
      <c r="BP31" s="1636"/>
      <c r="BQ31" s="1636"/>
      <c r="BR31" s="1636"/>
      <c r="BS31" s="1636"/>
      <c r="BT31" s="1636"/>
      <c r="BU31" s="1636"/>
      <c r="BV31" s="1160"/>
      <c r="BW31" s="1160"/>
      <c r="BX31" s="1160"/>
      <c r="BY31" s="1160"/>
      <c r="BZ31" s="1160"/>
      <c r="CA31" s="1160"/>
      <c r="CB31" s="1160"/>
      <c r="CC31" s="1160"/>
      <c r="CD31" s="1160"/>
      <c r="CE31" s="1160"/>
      <c r="CF31" s="1850"/>
    </row>
    <row r="32" ht="19.949999999999999" customHeight="1">
      <c r="D32" s="1047"/>
      <c r="E32" s="1047"/>
      <c r="F32" s="1047"/>
      <c r="G32" s="1047"/>
      <c r="H32" s="1047"/>
      <c r="I32" s="1047"/>
      <c r="J32" s="1047"/>
      <c r="K32" s="1047"/>
      <c r="L32" s="1047"/>
      <c r="M32" s="1047"/>
      <c r="N32" s="1047"/>
      <c r="O32" s="1047"/>
      <c r="P32" s="1047"/>
      <c r="Q32" s="1047"/>
      <c r="R32" s="1047"/>
      <c r="S32" s="1047"/>
      <c r="T32" s="334"/>
      <c r="CF32" s="505">
        <v>19</v>
      </c>
    </row>
    <row r="33" ht="11.5" customHeight="1">
      <c r="D33" s="509"/>
      <c r="CF33" s="505">
        <v>11</v>
      </c>
    </row>
    <row r="34" ht="11.5" customHeight="1">
      <c r="D34" s="654"/>
      <c r="E34" s="654"/>
      <c r="F34" s="654"/>
      <c r="G34" s="655"/>
      <c r="CF34" s="505">
        <v>11</v>
      </c>
    </row>
    <row r="35" ht="11.5" customHeight="1">
      <c r="CF35" s="505">
        <v>11</v>
      </c>
    </row>
    <row r="36" ht="11.5" customHeight="1">
      <c r="D36" s="656"/>
      <c r="E36" s="2384"/>
      <c r="F36" s="2384"/>
      <c r="G36" s="2384"/>
      <c r="H36" s="2384"/>
      <c r="I36" s="2384"/>
      <c r="J36" s="2384"/>
      <c r="K36" s="2384"/>
      <c r="L36" s="2384"/>
      <c r="M36" s="2384"/>
      <c r="N36" s="2384"/>
      <c r="O36" s="2384"/>
      <c r="P36" s="2384"/>
      <c r="Q36" s="2384"/>
      <c r="R36" s="2384"/>
      <c r="CF36" s="505">
        <v>11</v>
      </c>
    </row>
    <row r="37" ht="11.5" customHeight="1">
      <c r="F37" s="758"/>
      <c r="G37" s="758"/>
      <c r="CF37" s="505">
        <v>11</v>
      </c>
    </row>
    <row r="38" ht="11.25" hidden="1" customHeight="1">
      <c r="A38" s="610" t="s">
        <v>81</v>
      </c>
      <c r="B38" s="449">
        <v>0</v>
      </c>
      <c r="C38" s="505">
        <v>3</v>
      </c>
      <c r="D38" s="505">
        <v>0</v>
      </c>
      <c r="E38" s="505">
        <v>7</v>
      </c>
      <c r="F38" s="505">
        <v>7</v>
      </c>
      <c r="G38" s="505">
        <v>29</v>
      </c>
      <c r="H38" s="505">
        <v>3</v>
      </c>
      <c r="I38" s="505">
        <v>5</v>
      </c>
      <c r="J38" s="505">
        <v>24</v>
      </c>
      <c r="K38" s="505">
        <v>24</v>
      </c>
      <c r="L38" s="505">
        <v>3</v>
      </c>
      <c r="M38" s="505">
        <v>6</v>
      </c>
      <c r="N38" s="505">
        <v>25</v>
      </c>
      <c r="O38" s="505">
        <v>18</v>
      </c>
      <c r="P38" s="505">
        <v>18</v>
      </c>
      <c r="Q38" s="505">
        <v>18</v>
      </c>
      <c r="R38" s="505">
        <v>18</v>
      </c>
      <c r="S38" s="505">
        <v>93</v>
      </c>
      <c r="T38" s="505">
        <v>10</v>
      </c>
      <c r="U38" s="611">
        <v>10</v>
      </c>
      <c r="V38" s="611">
        <v>11</v>
      </c>
      <c r="W38" s="612">
        <v>10</v>
      </c>
      <c r="X38" s="449">
        <v>10</v>
      </c>
      <c r="Y38" s="449">
        <v>10</v>
      </c>
      <c r="Z38" s="449">
        <v>10</v>
      </c>
      <c r="AA38" s="449">
        <v>10</v>
      </c>
      <c r="AB38" s="505">
        <v>8</v>
      </c>
      <c r="AC38" s="505">
        <v>8</v>
      </c>
      <c r="AD38" s="505">
        <v>8</v>
      </c>
      <c r="AE38" s="505">
        <v>8</v>
      </c>
      <c r="AF38" s="505">
        <v>8</v>
      </c>
      <c r="AG38" s="505">
        <v>8</v>
      </c>
      <c r="AH38" s="505">
        <v>8</v>
      </c>
      <c r="AI38" s="505">
        <v>8</v>
      </c>
      <c r="AJ38" s="505">
        <v>8</v>
      </c>
      <c r="AK38" s="505">
        <v>8</v>
      </c>
      <c r="AL38" s="505">
        <v>8</v>
      </c>
      <c r="AM38" s="505">
        <v>8</v>
      </c>
      <c r="AN38" s="505">
        <v>8</v>
      </c>
      <c r="AO38" s="505">
        <v>8</v>
      </c>
      <c r="AP38" s="505">
        <v>8</v>
      </c>
      <c r="AQ38" s="505">
        <v>8</v>
      </c>
      <c r="AR38" s="505">
        <v>8</v>
      </c>
      <c r="AS38" s="505">
        <v>8</v>
      </c>
      <c r="AT38" s="505">
        <v>8</v>
      </c>
      <c r="AU38" s="505">
        <v>8</v>
      </c>
      <c r="AV38" s="505">
        <v>8</v>
      </c>
      <c r="AW38" s="505">
        <v>8</v>
      </c>
      <c r="AX38" s="505">
        <v>8</v>
      </c>
      <c r="AY38" s="505">
        <v>8</v>
      </c>
      <c r="AZ38" s="505">
        <v>8</v>
      </c>
      <c r="BA38" s="505">
        <v>8</v>
      </c>
      <c r="BB38" s="505">
        <v>8</v>
      </c>
      <c r="BC38" s="505">
        <v>8</v>
      </c>
      <c r="BD38" s="505">
        <v>8</v>
      </c>
      <c r="BE38" s="505">
        <v>8</v>
      </c>
      <c r="BF38" s="505">
        <v>8</v>
      </c>
      <c r="BG38" s="505">
        <v>8</v>
      </c>
      <c r="BH38" s="505">
        <v>8</v>
      </c>
      <c r="BI38" s="505">
        <v>8</v>
      </c>
      <c r="BJ38" s="505">
        <v>8</v>
      </c>
      <c r="BK38" s="505">
        <v>8</v>
      </c>
      <c r="BL38" s="505">
        <v>8</v>
      </c>
      <c r="BM38" s="505">
        <v>8</v>
      </c>
      <c r="BN38" s="505">
        <v>8</v>
      </c>
      <c r="BO38" s="505">
        <v>8</v>
      </c>
      <c r="BP38" s="505">
        <v>8</v>
      </c>
      <c r="BQ38" s="505">
        <v>8</v>
      </c>
      <c r="BR38" s="505">
        <v>8</v>
      </c>
      <c r="BS38" s="505">
        <v>8</v>
      </c>
      <c r="BT38" s="505">
        <v>8</v>
      </c>
      <c r="BU38" s="505">
        <v>8</v>
      </c>
      <c r="BV38" s="505">
        <v>8</v>
      </c>
      <c r="BW38" s="505">
        <v>8</v>
      </c>
      <c r="BX38" s="505">
        <v>8</v>
      </c>
      <c r="BY38" s="505">
        <v>8</v>
      </c>
      <c r="BZ38" s="505">
        <v>8</v>
      </c>
      <c r="CA38" s="505">
        <v>8</v>
      </c>
      <c r="CB38" s="505">
        <v>8</v>
      </c>
      <c r="CC38" s="505">
        <v>8</v>
      </c>
      <c r="CD38" s="505">
        <v>8</v>
      </c>
      <c r="CE38" s="505">
        <v>8</v>
      </c>
      <c r="CF38" s="505">
        <v>11</v>
      </c>
    </row>
  </sheetData>
  <sheetProtection autoFilter="0" deleteColumns="0" deleteRows="0" formatColumns="0" formatRows="0" insertColumns="1" insertRows="0" sort="0"/>
  <mergeCells count="36">
    <mergeCell ref="E5:K5"/>
    <mergeCell ref="E6:K6"/>
    <mergeCell ref="E9:R9"/>
    <mergeCell ref="S9:S10"/>
    <mergeCell ref="E10:F10"/>
    <mergeCell ref="H10:I10"/>
    <mergeCell ref="L10:M10"/>
    <mergeCell ref="D14:D22"/>
    <mergeCell ref="H14:R14"/>
    <mergeCell ref="H15:R15"/>
    <mergeCell ref="H16:R16"/>
    <mergeCell ref="E36:R36"/>
    <mergeCell ref="E20:P20"/>
    <mergeCell ref="U20:U22"/>
    <mergeCell ref="V20:V22"/>
    <mergeCell ref="AC14:AC19"/>
    <mergeCell ref="E17:P17"/>
    <mergeCell ref="U17:U19"/>
    <mergeCell ref="V17:V19"/>
    <mergeCell ref="E14:G14"/>
    <mergeCell ref="E15:G15"/>
    <mergeCell ref="E16:G16"/>
    <mergeCell ref="U29:U31"/>
    <mergeCell ref="V29:V31"/>
    <mergeCell ref="D23:D31"/>
    <mergeCell ref="E23:G23"/>
    <mergeCell ref="H23:R23"/>
    <mergeCell ref="AC23:AC28"/>
    <mergeCell ref="E24:G24"/>
    <mergeCell ref="H24:R24"/>
    <mergeCell ref="E25:G25"/>
    <mergeCell ref="H25:R25"/>
    <mergeCell ref="E26:P26"/>
    <mergeCell ref="U26:U28"/>
    <mergeCell ref="V26:V28"/>
    <mergeCell ref="E29:P29"/>
  </mergeCells>
  <pageMargins left="0.69999999999999996" right="0.69999999999999996" top="0.75" bottom="0.75" header="0.29999999999999999" footer="0.29999999999999999"/>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9" tint="-0.25"/>
  </sheetPr>
  <sheetViews>
    <sheetView showGridLines="0" topLeftCell="A1" zoomScale="90" workbookViewId="0">
      <selection activeCell="N9" sqref="N9"/>
    </sheetView>
  </sheetViews>
  <sheetFormatPr defaultColWidth="9.140625" defaultRowHeight="11.25" customHeight="1"/>
  <cols>
    <col customWidth="1" hidden="1" min="1" max="5" style="987" width="10.7109375"/>
    <col customWidth="1" hidden="1" min="6" max="6" style="1366" width="16.8515625"/>
    <col customWidth="1" hidden="1" min="7" max="7" style="1642" width="5.57421875"/>
    <col customWidth="1" min="8" max="8" style="1635" width="3.00390625"/>
    <col customWidth="1" min="9" max="9" style="1635" width="7.00390625"/>
    <col customWidth="1" min="10" max="10" style="1635" width="56.00390625"/>
    <col customWidth="1" min="11" max="11" style="1635" width="10.00390625"/>
    <col customWidth="1" hidden="1" min="12" max="12" style="1635" width="40.57421875"/>
    <col customWidth="1" min="13" max="13" style="1635" width="40.7109375"/>
    <col customWidth="1" min="14" max="14" style="1635" width="40.57421875"/>
    <col customWidth="1" hidden="1" min="15" max="15" style="1366" width="9.7109375"/>
    <col customWidth="1" min="16" max="16" style="1635" width="102.00390625"/>
    <col customWidth="1" min="17" max="17" style="1366" width="9.00390625"/>
    <col customWidth="1" min="18" max="18" style="1642" width="5.00390625"/>
    <col customWidth="1" min="19" max="19" style="1642" width="3.00390625"/>
    <col customWidth="1" min="20" max="23" style="1366" width="3.00390625"/>
    <col customWidth="1" min="24" max="24" style="1642" width="10.00390625"/>
    <col customWidth="1" min="25" max="25" style="1366" width="34.00390625"/>
    <col customWidth="1" min="26" max="26" style="1366" width="9.00390625"/>
    <col customWidth="1" min="27" max="27" style="736" width="8.00390625"/>
    <col customWidth="1" min="28" max="32" style="1366" width="8.00390625"/>
    <col customWidth="1" min="33" max="37" style="1632" width="8.00390625"/>
    <col customWidth="1" hidden="1" min="38" max="38" style="1635" width="5.421875"/>
  </cols>
  <sheetData>
    <row r="1" s="1366" customFormat="1" ht="33.75" hidden="1" customHeight="1">
      <c r="A1" s="987"/>
      <c r="B1" s="987"/>
      <c r="C1" s="987"/>
      <c r="D1" s="987"/>
      <c r="E1" s="987"/>
      <c r="G1" s="1636"/>
      <c r="H1" s="878"/>
      <c r="L1" s="1366">
        <v>4</v>
      </c>
      <c r="M1" s="1366">
        <v>4</v>
      </c>
      <c r="N1" s="1366">
        <v>4</v>
      </c>
      <c r="R1" s="1636"/>
      <c r="S1" s="1636"/>
      <c r="X1" s="1636"/>
      <c r="AL1" s="1366" t="s">
        <v>14</v>
      </c>
    </row>
    <row r="2" s="1366" customFormat="1" ht="78.75" hidden="1" customHeight="1">
      <c r="A2" s="987"/>
      <c r="B2" s="2053" t="s">
        <v>618</v>
      </c>
      <c r="C2" s="2053" t="s">
        <v>619</v>
      </c>
      <c r="D2" s="2052" t="s">
        <v>620</v>
      </c>
      <c r="E2" s="2056">
        <f>RIGHT(I2,LEN(I2)-SEARCH("#",SUBSTITUTE(I2,".","#",LEN(I2)-LEN(SUBSTITUTE(I2,".","")))))</f>
      </c>
      <c r="F2" s="2058">
        <f>J2</f>
        <v>0</v>
      </c>
      <c r="G2" s="1636"/>
      <c r="H2" s="2059"/>
      <c r="I2" s="2049"/>
      <c r="J2" s="540"/>
      <c r="K2" s="2019" t="s">
        <v>558</v>
      </c>
      <c r="L2" s="751"/>
      <c r="M2" s="751"/>
      <c r="N2" s="751"/>
      <c r="O2" s="543"/>
      <c r="P2" s="1525" t="s">
        <v>559</v>
      </c>
      <c r="Q2" s="543"/>
      <c r="R2" s="1636"/>
      <c r="S2" s="1636"/>
      <c r="X2" s="1636"/>
      <c r="AA2" s="544"/>
      <c r="AG2" s="1632"/>
      <c r="AH2" s="1632"/>
      <c r="AI2" s="1632"/>
      <c r="AJ2" s="1632"/>
      <c r="AK2" s="1632"/>
      <c r="AL2" s="1366">
        <v>0</v>
      </c>
    </row>
    <row r="3" ht="11.25" hidden="1" customHeight="1">
      <c r="E3" s="2051" t="s">
        <v>621</v>
      </c>
      <c r="L3" s="1631">
        <f>0</f>
        <v>0</v>
      </c>
      <c r="M3" s="1631">
        <v>1</v>
      </c>
      <c r="N3" s="1635">
        <f>0</f>
        <v>0</v>
      </c>
      <c r="AL3" s="1631">
        <v>0</v>
      </c>
    </row>
    <row r="4" s="1632" customFormat="1" ht="11.25" hidden="1" customHeight="1">
      <c r="A4" s="987"/>
      <c r="B4" s="987"/>
      <c r="C4" s="987"/>
      <c r="E4" s="987"/>
      <c r="F4" s="1366"/>
      <c r="G4" s="1636"/>
      <c r="H4" s="620"/>
      <c r="N4" s="1632"/>
      <c r="O4" s="1366"/>
      <c r="P4" s="1632">
        <v>4</v>
      </c>
      <c r="Q4" s="1366"/>
      <c r="R4" s="1636"/>
      <c r="S4" s="1636"/>
      <c r="T4" s="1366"/>
      <c r="U4" s="1366"/>
      <c r="V4" s="1366"/>
      <c r="W4" s="1366"/>
      <c r="X4" s="1636"/>
      <c r="Y4" s="1366"/>
      <c r="Z4" s="1366"/>
      <c r="AA4" s="544"/>
      <c r="AB4" s="1366"/>
      <c r="AC4" s="1366"/>
      <c r="AD4" s="1366"/>
      <c r="AE4" s="1366"/>
      <c r="AF4" s="1366"/>
      <c r="AL4" s="1632">
        <v>0</v>
      </c>
    </row>
    <row r="5" ht="11.5" customHeight="1">
      <c r="N5" s="1635"/>
      <c r="AL5" s="1631">
        <v>11</v>
      </c>
    </row>
    <row r="6" ht="57.75" customHeight="1">
      <c r="I6" s="2307" t="s">
        <v>622</v>
      </c>
      <c r="J6" s="2307"/>
      <c r="K6" s="2307"/>
      <c r="L6" s="2307"/>
      <c r="M6" s="2307"/>
      <c r="N6" s="2307"/>
      <c r="P6" s="556"/>
      <c r="AL6" s="1631">
        <v>55</v>
      </c>
    </row>
    <row r="7" ht="25.199999999999999" customHeight="1">
      <c r="I7" s="2249" t="str">
        <f>IF(org=0,"Не определено",org)</f>
        <v xml:space="preserve">филиал ПАО "ОГК-2" - Рязанская ГРЭС</v>
      </c>
      <c r="J7" s="2249"/>
      <c r="K7" s="2249"/>
      <c r="L7" s="2249"/>
      <c r="M7" s="2249"/>
      <c r="N7" s="2249"/>
      <c r="AL7" s="1631">
        <v>24</v>
      </c>
    </row>
    <row r="8" ht="11.5" customHeight="1">
      <c r="I8" s="1135"/>
      <c r="J8" s="1135"/>
      <c r="K8" s="1135"/>
      <c r="L8" s="1135"/>
      <c r="M8" s="1135"/>
      <c r="N8" s="1136" t="s">
        <v>22</v>
      </c>
      <c r="AL8" s="1631">
        <v>11</v>
      </c>
    </row>
    <row r="9" s="1642" customFormat="1" ht="30" hidden="1" customHeight="1">
      <c r="A9" s="1167"/>
      <c r="B9" s="1167"/>
      <c r="C9" s="1167"/>
      <c r="E9" s="1167"/>
      <c r="H9" s="1642"/>
      <c r="L9" s="889"/>
      <c r="M9" s="889" t="s">
        <v>117</v>
      </c>
      <c r="N9" s="889" t="s">
        <v>123</v>
      </c>
      <c r="AL9" s="1636">
        <v>1</v>
      </c>
    </row>
    <row r="10" ht="11.5" customHeight="1">
      <c r="E10" s="2050" t="s">
        <v>623</v>
      </c>
      <c r="I10" s="711"/>
      <c r="J10" s="2367" t="s">
        <v>105</v>
      </c>
      <c r="K10" s="2368"/>
      <c r="L10" s="2029" t="str">
        <f>IF(L9="","",INDEX(DIFFERENTIATION_UNMERGE_VD,MATCH(L9,DIFFERENTIATION_ID_DIFF,0)))</f>
        <v/>
      </c>
      <c r="M10" s="2029" t="str">
        <f>IF(M9="","",INDEX(DIFFERENTIATION_UNMERGE_VD,MATCH(M9,DIFFERENTIATION_ID_DIFF,0)))</f>
        <v>Водоотведение</v>
      </c>
      <c r="N10" s="2393" t="str">
        <f>IF(N9="","",INDEX(DIFFERENTIATION_UNMERGE_VD,MATCH(N9,DIFFERENTIATION_ID_DIFF,0)))</f>
        <v>Транспортировка</v>
      </c>
      <c r="P10" s="2127" t="s">
        <v>303</v>
      </c>
      <c r="AL10" s="1631">
        <v>11</v>
      </c>
    </row>
    <row r="11" ht="11.5" customHeight="1">
      <c r="E11" s="2050" t="s">
        <v>624</v>
      </c>
      <c r="I11" s="711"/>
      <c r="J11" s="2367" t="s">
        <v>566</v>
      </c>
      <c r="K11" s="2368"/>
      <c r="L11" s="2029" t="str">
        <f>IF(L9="","",INDEX(DIFFERENTIATION_UNMERGE_AREA,MATCH(L9,DIFFERENTIATION_ID_DIFF,0)))</f>
        <v/>
      </c>
      <c r="M11" s="2029" t="str">
        <f>IF(M9="","",INDEX(DIFFERENTIATION_UNMERGE_AREA,MATCH(M9,DIFFERENTIATION_ID_DIFF,0)))</f>
        <v xml:space="preserve">без дифференциации</v>
      </c>
      <c r="N11" s="2393" t="str">
        <f>IF(N9="","",INDEX(DIFFERENTIATION_UNMERGE_AREA,MATCH(N9,DIFFERENTIATION_ID_DIFF,0)))</f>
        <v xml:space="preserve">без дифференциации</v>
      </c>
      <c r="P11" s="2127"/>
      <c r="AL11" s="1631">
        <v>11</v>
      </c>
    </row>
    <row r="12" ht="11.5" customHeight="1">
      <c r="E12" s="2050" t="s">
        <v>625</v>
      </c>
      <c r="I12" s="1662"/>
      <c r="J12" s="2367" t="s">
        <v>567</v>
      </c>
      <c r="K12" s="2368"/>
      <c r="L12" s="2029" t="str">
        <f>IF(L9="","",INDEX(DIFFERENTIATION_UNMERGE_SYSTEM,MATCH(L9,DIFFERENTIATION_ID_DIFF,0)))</f>
        <v/>
      </c>
      <c r="M12" s="2029" t="str">
        <f>IF(M9="","",INDEX(DIFFERENTIATION_UNMERGE_SYSTEM,MATCH(M9,DIFFERENTIATION_ID_DIFF,0)))</f>
        <v xml:space="preserve">без дифференциации</v>
      </c>
      <c r="N12" s="2393" t="str">
        <f>IF(N9="","",INDEX(DIFFERENTIATION_UNMERGE_SYSTEM,MATCH(N9,DIFFERENTIATION_ID_DIFF,0)))</f>
        <v xml:space="preserve">без дифференциации</v>
      </c>
      <c r="P12" s="2127"/>
      <c r="AL12" s="1631">
        <v>11</v>
      </c>
    </row>
    <row r="13" ht="11.5" customHeight="1">
      <c r="E13" s="2050" t="s">
        <v>626</v>
      </c>
      <c r="F13" s="2050" t="s">
        <v>627</v>
      </c>
      <c r="I13" s="2369" t="s">
        <v>302</v>
      </c>
      <c r="J13" s="2370"/>
      <c r="K13" s="2370"/>
      <c r="L13" s="2027"/>
      <c r="M13" s="2067"/>
      <c r="N13" s="2367"/>
      <c r="P13" s="2127"/>
      <c r="AL13" s="1631">
        <v>11</v>
      </c>
    </row>
    <row r="14" ht="24" customHeight="1">
      <c r="I14" s="2020" t="s">
        <v>87</v>
      </c>
      <c r="J14" s="2020" t="s">
        <v>304</v>
      </c>
      <c r="K14" s="2020" t="s">
        <v>568</v>
      </c>
      <c r="L14" s="2060" t="s">
        <v>305</v>
      </c>
      <c r="M14" s="2061" t="s">
        <v>305</v>
      </c>
      <c r="N14" s="2262" t="s">
        <v>305</v>
      </c>
      <c r="P14" s="2127"/>
      <c r="AL14" s="1631">
        <v>23</v>
      </c>
    </row>
    <row r="15" ht="24" customHeight="1">
      <c r="A15" s="2054"/>
      <c r="B15" s="2053" t="s">
        <v>628</v>
      </c>
      <c r="C15" s="2053" t="s">
        <v>629</v>
      </c>
      <c r="D15" s="2052" t="s">
        <v>630</v>
      </c>
      <c r="E15" s="2056" t="s">
        <v>631</v>
      </c>
      <c r="F15" s="2056" t="s">
        <v>631</v>
      </c>
      <c r="G15" s="1636" t="s">
        <v>590</v>
      </c>
      <c r="H15" s="2021"/>
      <c r="I15" s="1630">
        <v>1</v>
      </c>
      <c r="J15" s="2022" t="s">
        <v>632</v>
      </c>
      <c r="K15" s="2020" t="s">
        <v>308</v>
      </c>
      <c r="L15" s="662"/>
      <c r="M15" s="818"/>
      <c r="N15" s="662"/>
      <c r="O15" s="543" t="s">
        <v>633</v>
      </c>
      <c r="P15" s="1525" t="s">
        <v>634</v>
      </c>
      <c r="Q15" s="543" t="s">
        <v>633</v>
      </c>
      <c r="AL15" s="1631">
        <v>23</v>
      </c>
    </row>
    <row r="16" ht="35.649999999999999" customHeight="1">
      <c r="A16" s="2054"/>
      <c r="B16" s="2053" t="s">
        <v>635</v>
      </c>
      <c r="C16" s="2053" t="s">
        <v>636</v>
      </c>
      <c r="D16" s="2052" t="s">
        <v>620</v>
      </c>
      <c r="E16" s="2056" t="s">
        <v>631</v>
      </c>
      <c r="F16" s="2056" t="s">
        <v>631</v>
      </c>
      <c r="H16" s="2021"/>
      <c r="I16" s="1629">
        <v>2</v>
      </c>
      <c r="J16" s="2063" t="s">
        <v>637</v>
      </c>
      <c r="K16" s="2062" t="s">
        <v>558</v>
      </c>
      <c r="L16" s="2068"/>
      <c r="M16" s="1676"/>
      <c r="N16" s="2068"/>
      <c r="O16" s="543" t="s">
        <v>633</v>
      </c>
      <c r="P16" s="1525" t="s">
        <v>638</v>
      </c>
      <c r="Q16" s="543" t="s">
        <v>633</v>
      </c>
      <c r="AL16" s="1631">
        <v>34</v>
      </c>
    </row>
    <row r="17" s="1642" customFormat="1" ht="17.25" hidden="1" customHeight="1">
      <c r="A17" s="1167"/>
      <c r="B17" s="1167"/>
      <c r="C17" s="1167"/>
      <c r="D17" s="1167"/>
      <c r="E17" s="1167"/>
      <c r="H17" s="1324"/>
      <c r="I17" s="1013" t="s">
        <v>639</v>
      </c>
      <c r="J17" s="991"/>
      <c r="K17" s="1013"/>
      <c r="L17" s="992"/>
      <c r="M17" s="992"/>
      <c r="N17" s="992"/>
      <c r="P17" s="1385"/>
      <c r="AL17" s="1636">
        <v>1</v>
      </c>
    </row>
    <row r="18" s="1366" customFormat="1" ht="24" customHeight="1">
      <c r="A18" s="987"/>
      <c r="B18" s="987"/>
      <c r="C18" s="987"/>
      <c r="D18" s="987"/>
      <c r="E18" s="987"/>
      <c r="G18" s="1636"/>
      <c r="H18" s="1633"/>
      <c r="I18" s="570"/>
      <c r="J18" s="571" t="s">
        <v>588</v>
      </c>
      <c r="K18" s="572"/>
      <c r="L18" s="2070"/>
      <c r="M18" s="573"/>
      <c r="N18" s="2634"/>
      <c r="O18" s="543"/>
      <c r="P18" s="1525" t="s">
        <v>589</v>
      </c>
      <c r="Q18" s="543"/>
      <c r="R18" s="1636"/>
      <c r="S18" s="1636"/>
      <c r="X18" s="1636"/>
      <c r="AA18" s="544"/>
      <c r="AG18" s="1632"/>
      <c r="AH18" s="1632"/>
      <c r="AI18" s="1632"/>
      <c r="AJ18" s="1632"/>
      <c r="AK18" s="1632"/>
      <c r="AL18" s="1366">
        <v>23</v>
      </c>
    </row>
    <row r="19" ht="19.949999999999999" customHeight="1">
      <c r="A19" s="2054"/>
      <c r="B19" s="2053" t="s">
        <v>640</v>
      </c>
      <c r="C19" s="2053" t="s">
        <v>641</v>
      </c>
      <c r="D19" s="2052" t="s">
        <v>620</v>
      </c>
      <c r="E19" s="2056" t="s">
        <v>631</v>
      </c>
      <c r="F19" s="2056" t="s">
        <v>631</v>
      </c>
      <c r="H19" s="2021"/>
      <c r="I19" s="1664">
        <v>3</v>
      </c>
      <c r="J19" s="2022" t="s">
        <v>641</v>
      </c>
      <c r="K19" s="2018" t="s">
        <v>558</v>
      </c>
      <c r="L19" s="727"/>
      <c r="M19" s="557"/>
      <c r="N19" s="727"/>
      <c r="O19" s="543"/>
      <c r="P19" s="1525" t="s">
        <v>642</v>
      </c>
      <c r="Q19" s="543"/>
      <c r="AL19" s="1631">
        <v>19</v>
      </c>
    </row>
    <row r="20" ht="77.700000000000003" customHeight="1">
      <c r="A20" s="2054"/>
      <c r="B20" s="2053" t="s">
        <v>643</v>
      </c>
      <c r="C20" s="2053" t="s">
        <v>644</v>
      </c>
      <c r="D20" s="2052" t="s">
        <v>620</v>
      </c>
      <c r="E20" s="2056" t="s">
        <v>631</v>
      </c>
      <c r="F20" s="2056" t="s">
        <v>631</v>
      </c>
      <c r="H20" s="2021"/>
      <c r="I20" s="1664">
        <v>4</v>
      </c>
      <c r="J20" s="2022" t="s">
        <v>645</v>
      </c>
      <c r="K20" s="2018" t="s">
        <v>585</v>
      </c>
      <c r="L20" s="727"/>
      <c r="M20" s="557"/>
      <c r="N20" s="727"/>
      <c r="O20" s="543"/>
      <c r="P20" s="1525"/>
      <c r="Q20" s="543"/>
      <c r="AL20" s="1631">
        <v>74</v>
      </c>
    </row>
    <row r="21" ht="35.649999999999999" customHeight="1">
      <c r="A21" s="2054"/>
      <c r="B21" s="2053" t="s">
        <v>646</v>
      </c>
      <c r="C21" s="2053" t="s">
        <v>647</v>
      </c>
      <c r="D21" s="2052" t="s">
        <v>620</v>
      </c>
      <c r="E21" s="2056" t="s">
        <v>631</v>
      </c>
      <c r="F21" s="2056" t="s">
        <v>631</v>
      </c>
      <c r="H21" s="2021"/>
      <c r="I21" s="1664">
        <v>5</v>
      </c>
      <c r="J21" s="2022" t="s">
        <v>648</v>
      </c>
      <c r="K21" s="2018" t="s">
        <v>585</v>
      </c>
      <c r="L21" s="727"/>
      <c r="M21" s="557"/>
      <c r="N21" s="727"/>
      <c r="O21" s="543"/>
      <c r="P21" s="1525" t="s">
        <v>642</v>
      </c>
      <c r="Q21" s="543"/>
      <c r="AL21" s="1631">
        <v>34</v>
      </c>
    </row>
    <row r="22" ht="48.25" customHeight="1">
      <c r="A22" s="2054"/>
      <c r="B22" s="2053" t="s">
        <v>649</v>
      </c>
      <c r="C22" s="2053" t="s">
        <v>650</v>
      </c>
      <c r="D22" s="2052" t="s">
        <v>620</v>
      </c>
      <c r="E22" s="2056" t="s">
        <v>631</v>
      </c>
      <c r="F22" s="2056" t="s">
        <v>631</v>
      </c>
      <c r="H22" s="2021"/>
      <c r="I22" s="1664">
        <v>6</v>
      </c>
      <c r="J22" s="2022" t="s">
        <v>651</v>
      </c>
      <c r="K22" s="2018" t="s">
        <v>585</v>
      </c>
      <c r="L22" s="727"/>
      <c r="M22" s="557"/>
      <c r="N22" s="727"/>
      <c r="O22" s="543"/>
      <c r="P22" s="1525" t="s">
        <v>652</v>
      </c>
      <c r="Q22" s="543"/>
      <c r="AL22" s="1631">
        <v>46</v>
      </c>
    </row>
    <row r="23" ht="19.949999999999999" customHeight="1">
      <c r="A23" s="2054"/>
      <c r="B23" s="2053" t="s">
        <v>653</v>
      </c>
      <c r="C23" s="2053" t="s">
        <v>654</v>
      </c>
      <c r="D23" s="2052" t="s">
        <v>620</v>
      </c>
      <c r="E23" s="2056" t="s">
        <v>631</v>
      </c>
      <c r="F23" s="2056" t="s">
        <v>631</v>
      </c>
      <c r="H23" s="2021"/>
      <c r="I23" s="1664" t="s">
        <v>655</v>
      </c>
      <c r="J23" s="1524" t="s">
        <v>656</v>
      </c>
      <c r="K23" s="2018" t="s">
        <v>585</v>
      </c>
      <c r="L23" s="727"/>
      <c r="M23" s="557"/>
      <c r="N23" s="727"/>
      <c r="O23" s="543"/>
      <c r="P23" s="1525" t="s">
        <v>642</v>
      </c>
      <c r="Q23" s="543"/>
      <c r="AL23" s="1631">
        <v>19</v>
      </c>
    </row>
    <row r="24" ht="19.949999999999999" customHeight="1">
      <c r="A24" s="2054"/>
      <c r="B24" s="2053" t="s">
        <v>657</v>
      </c>
      <c r="C24" s="2053" t="s">
        <v>658</v>
      </c>
      <c r="D24" s="2052" t="s">
        <v>620</v>
      </c>
      <c r="E24" s="2056" t="s">
        <v>631</v>
      </c>
      <c r="F24" s="2056" t="s">
        <v>631</v>
      </c>
      <c r="H24" s="2021"/>
      <c r="I24" s="1664" t="s">
        <v>659</v>
      </c>
      <c r="J24" s="1524" t="s">
        <v>660</v>
      </c>
      <c r="K24" s="2018" t="s">
        <v>585</v>
      </c>
      <c r="L24" s="727"/>
      <c r="M24" s="557"/>
      <c r="N24" s="727"/>
      <c r="O24" s="543"/>
      <c r="P24" s="1525"/>
      <c r="Q24" s="543"/>
      <c r="AL24" s="1631">
        <v>19</v>
      </c>
    </row>
    <row r="25" ht="24" customHeight="1">
      <c r="A25" s="2054"/>
      <c r="B25" s="2053" t="s">
        <v>661</v>
      </c>
      <c r="C25" s="2053" t="s">
        <v>662</v>
      </c>
      <c r="D25" s="2052" t="s">
        <v>620</v>
      </c>
      <c r="E25" s="2056" t="s">
        <v>631</v>
      </c>
      <c r="F25" s="2056" t="s">
        <v>631</v>
      </c>
      <c r="H25" s="2021"/>
      <c r="I25" s="1664" t="s">
        <v>663</v>
      </c>
      <c r="J25" s="1524" t="s">
        <v>664</v>
      </c>
      <c r="K25" s="2018" t="s">
        <v>585</v>
      </c>
      <c r="L25" s="727"/>
      <c r="M25" s="557"/>
      <c r="N25" s="727"/>
      <c r="O25" s="543"/>
      <c r="P25" s="1525"/>
      <c r="Q25" s="543"/>
      <c r="AL25" s="1631">
        <v>23</v>
      </c>
    </row>
    <row r="26" ht="24" customHeight="1">
      <c r="A26" s="2054"/>
      <c r="B26" s="2053" t="s">
        <v>665</v>
      </c>
      <c r="C26" s="2053" t="s">
        <v>666</v>
      </c>
      <c r="D26" s="2052" t="s">
        <v>620</v>
      </c>
      <c r="E26" s="2056" t="s">
        <v>631</v>
      </c>
      <c r="F26" s="2056" t="s">
        <v>631</v>
      </c>
      <c r="H26" s="2021"/>
      <c r="I26" s="1664">
        <v>7</v>
      </c>
      <c r="J26" s="2022" t="s">
        <v>666</v>
      </c>
      <c r="K26" s="2018" t="s">
        <v>667</v>
      </c>
      <c r="L26" s="727"/>
      <c r="M26" s="557"/>
      <c r="N26" s="727"/>
      <c r="O26" s="543"/>
      <c r="P26" s="1525"/>
      <c r="Q26" s="543"/>
      <c r="AL26" s="1631">
        <v>23</v>
      </c>
    </row>
    <row r="27" ht="24" customHeight="1">
      <c r="A27" s="2054"/>
      <c r="B27" s="2053" t="s">
        <v>668</v>
      </c>
      <c r="C27" s="2053" t="s">
        <v>669</v>
      </c>
      <c r="D27" s="2052" t="s">
        <v>620</v>
      </c>
      <c r="E27" s="2056" t="s">
        <v>631</v>
      </c>
      <c r="F27" s="2056" t="s">
        <v>631</v>
      </c>
      <c r="H27" s="2021"/>
      <c r="I27" s="1664">
        <v>8</v>
      </c>
      <c r="J27" s="2022" t="s">
        <v>669</v>
      </c>
      <c r="K27" s="2018" t="s">
        <v>591</v>
      </c>
      <c r="L27" s="727"/>
      <c r="M27" s="557"/>
      <c r="N27" s="727"/>
      <c r="O27" s="543"/>
      <c r="P27" s="1525"/>
      <c r="Q27" s="543"/>
      <c r="AL27" s="1631">
        <v>23</v>
      </c>
    </row>
    <row r="28" ht="35.649999999999999" customHeight="1">
      <c r="A28" s="2054"/>
      <c r="B28" s="2053" t="s">
        <v>670</v>
      </c>
      <c r="C28" s="2053" t="s">
        <v>671</v>
      </c>
      <c r="D28" s="2052" t="s">
        <v>620</v>
      </c>
      <c r="E28" s="2056" t="s">
        <v>631</v>
      </c>
      <c r="F28" s="2056" t="s">
        <v>631</v>
      </c>
      <c r="H28" s="2021"/>
      <c r="I28" s="1675">
        <v>9</v>
      </c>
      <c r="J28" s="2022" t="s">
        <v>672</v>
      </c>
      <c r="K28" s="2018" t="s">
        <v>562</v>
      </c>
      <c r="L28" s="727"/>
      <c r="M28" s="557"/>
      <c r="N28" s="727"/>
      <c r="O28" s="543"/>
      <c r="P28" s="1525"/>
      <c r="Q28" s="543"/>
      <c r="AL28" s="1631">
        <v>34</v>
      </c>
    </row>
    <row r="29" ht="35.649999999999999" customHeight="1">
      <c r="A29" s="2054"/>
      <c r="B29" s="2053" t="s">
        <v>673</v>
      </c>
      <c r="C29" s="2053" t="s">
        <v>674</v>
      </c>
      <c r="D29" s="2052" t="s">
        <v>620</v>
      </c>
      <c r="E29" s="2056" t="s">
        <v>631</v>
      </c>
      <c r="F29" s="2056" t="s">
        <v>631</v>
      </c>
      <c r="H29" s="2021"/>
      <c r="I29" s="1675">
        <v>10</v>
      </c>
      <c r="J29" s="2022" t="s">
        <v>675</v>
      </c>
      <c r="K29" s="2018" t="s">
        <v>562</v>
      </c>
      <c r="L29" s="727"/>
      <c r="M29" s="557"/>
      <c r="N29" s="727"/>
      <c r="O29" s="543"/>
      <c r="P29" s="1525"/>
      <c r="Q29" s="543"/>
      <c r="AL29" s="1631">
        <v>34</v>
      </c>
    </row>
    <row r="30" ht="24" customHeight="1">
      <c r="A30" s="2054"/>
      <c r="B30" s="2053" t="s">
        <v>676</v>
      </c>
      <c r="C30" s="2053" t="s">
        <v>677</v>
      </c>
      <c r="D30" s="2052" t="s">
        <v>620</v>
      </c>
      <c r="E30" s="2056" t="s">
        <v>631</v>
      </c>
      <c r="F30" s="2056" t="s">
        <v>631</v>
      </c>
      <c r="H30" s="2021"/>
      <c r="I30" s="1675">
        <v>11</v>
      </c>
      <c r="J30" s="2022" t="s">
        <v>677</v>
      </c>
      <c r="K30" s="2018" t="s">
        <v>592</v>
      </c>
      <c r="L30" s="2069"/>
      <c r="M30" s="1621"/>
      <c r="N30" s="2069"/>
      <c r="O30" s="543"/>
      <c r="P30" s="1525"/>
      <c r="Q30" s="543"/>
      <c r="AL30" s="1631">
        <v>23</v>
      </c>
    </row>
    <row r="31" ht="24" customHeight="1">
      <c r="A31" s="2054"/>
      <c r="B31" s="2053" t="s">
        <v>678</v>
      </c>
      <c r="C31" s="2053" t="s">
        <v>679</v>
      </c>
      <c r="D31" s="2052" t="s">
        <v>620</v>
      </c>
      <c r="E31" s="2056" t="s">
        <v>631</v>
      </c>
      <c r="F31" s="2056" t="s">
        <v>631</v>
      </c>
      <c r="H31" s="2021"/>
      <c r="I31" s="1675">
        <v>12</v>
      </c>
      <c r="J31" s="2022" t="s">
        <v>679</v>
      </c>
      <c r="K31" s="2018" t="s">
        <v>592</v>
      </c>
      <c r="L31" s="2069"/>
      <c r="M31" s="1621"/>
      <c r="N31" s="2069"/>
      <c r="O31" s="543"/>
      <c r="P31" s="1525"/>
      <c r="Q31" s="543"/>
      <c r="AL31" s="1631">
        <v>23</v>
      </c>
    </row>
    <row r="32" ht="48.25" customHeight="1">
      <c r="A32" s="2054"/>
      <c r="B32" s="2053" t="s">
        <v>680</v>
      </c>
      <c r="C32" s="2053" t="s">
        <v>681</v>
      </c>
      <c r="D32" s="2052" t="s">
        <v>620</v>
      </c>
      <c r="E32" s="2056" t="s">
        <v>631</v>
      </c>
      <c r="F32" s="2056" t="s">
        <v>631</v>
      </c>
      <c r="H32" s="2021"/>
      <c r="I32" s="1675">
        <v>13</v>
      </c>
      <c r="J32" s="2022" t="s">
        <v>682</v>
      </c>
      <c r="K32" s="2018" t="s">
        <v>602</v>
      </c>
      <c r="L32" s="727"/>
      <c r="M32" s="557"/>
      <c r="N32" s="727"/>
      <c r="O32" s="543"/>
      <c r="P32" s="1525" t="s">
        <v>642</v>
      </c>
      <c r="Q32" s="543"/>
      <c r="AL32" s="1631">
        <v>46</v>
      </c>
    </row>
    <row r="33" s="1366" customFormat="1" ht="48.25" customHeight="1">
      <c r="A33" s="2054"/>
      <c r="B33" s="2053" t="s">
        <v>683</v>
      </c>
      <c r="C33" s="2053" t="s">
        <v>684</v>
      </c>
      <c r="D33" s="2052" t="s">
        <v>620</v>
      </c>
      <c r="E33" s="2056" t="s">
        <v>631</v>
      </c>
      <c r="F33" s="2056" t="s">
        <v>631</v>
      </c>
      <c r="G33" s="1636"/>
      <c r="H33" s="2021"/>
      <c r="I33" s="1675">
        <v>14</v>
      </c>
      <c r="J33" s="2034" t="s">
        <v>685</v>
      </c>
      <c r="K33" s="2023" t="s">
        <v>686</v>
      </c>
      <c r="L33" s="727"/>
      <c r="M33" s="557"/>
      <c r="N33" s="727"/>
      <c r="O33" s="543"/>
      <c r="P33" s="1525" t="s">
        <v>642</v>
      </c>
      <c r="Q33" s="543"/>
      <c r="R33" s="1636"/>
      <c r="S33" s="1636"/>
      <c r="X33" s="1636"/>
      <c r="AA33" s="544"/>
      <c r="AG33" s="1632"/>
      <c r="AH33" s="1632"/>
      <c r="AI33" s="1632"/>
      <c r="AJ33" s="1632"/>
      <c r="AK33" s="1632"/>
      <c r="AL33" s="1366">
        <v>46</v>
      </c>
    </row>
    <row r="34" ht="108" customHeight="1">
      <c r="A34" s="2054"/>
      <c r="B34" s="2053" t="s">
        <v>687</v>
      </c>
      <c r="C34" s="2053" t="s">
        <v>688</v>
      </c>
      <c r="D34" s="2052" t="s">
        <v>630</v>
      </c>
      <c r="E34" s="2056" t="s">
        <v>631</v>
      </c>
      <c r="F34" s="2056" t="s">
        <v>631</v>
      </c>
      <c r="G34" s="1636" t="s">
        <v>590</v>
      </c>
      <c r="H34" s="2021"/>
      <c r="I34" s="2032">
        <v>15</v>
      </c>
      <c r="J34" s="2033" t="s">
        <v>689</v>
      </c>
      <c r="K34" s="2018" t="s">
        <v>308</v>
      </c>
      <c r="L34" s="385"/>
      <c r="M34" s="1164"/>
      <c r="N34" s="385"/>
      <c r="O34" s="543"/>
      <c r="P34" s="1525" t="s">
        <v>634</v>
      </c>
      <c r="Q34" s="543"/>
      <c r="AL34" s="1631">
        <v>103</v>
      </c>
    </row>
    <row r="35" s="1641" customFormat="1" ht="11.5" customHeight="1">
      <c r="A35" s="987"/>
      <c r="B35" s="987"/>
      <c r="C35" s="987"/>
      <c r="D35" s="987"/>
      <c r="E35" s="987"/>
      <c r="F35" s="1636"/>
      <c r="G35" s="1636"/>
      <c r="H35" s="351"/>
      <c r="N35" s="1641"/>
      <c r="O35" s="1366"/>
      <c r="Q35" s="1366"/>
      <c r="R35" s="1636"/>
      <c r="S35" s="1636"/>
      <c r="T35" s="1366"/>
      <c r="U35" s="1366"/>
      <c r="V35" s="1366"/>
      <c r="W35" s="1366"/>
      <c r="X35" s="1636"/>
      <c r="Y35" s="1366"/>
      <c r="Z35" s="1366"/>
      <c r="AA35" s="544"/>
      <c r="AB35" s="1366"/>
      <c r="AC35" s="1366"/>
      <c r="AD35" s="1366"/>
      <c r="AE35" s="1366"/>
      <c r="AF35" s="1366"/>
      <c r="AG35" s="1632"/>
      <c r="AH35" s="622"/>
      <c r="AI35" s="622"/>
      <c r="AJ35" s="622"/>
      <c r="AK35" s="622"/>
      <c r="AL35" s="1641">
        <v>11</v>
      </c>
    </row>
    <row r="36" s="1641" customFormat="1" ht="11.5" customHeight="1">
      <c r="A36" s="987"/>
      <c r="B36" s="987"/>
      <c r="C36" s="987"/>
      <c r="D36" s="987"/>
      <c r="E36" s="987"/>
      <c r="F36" s="1636"/>
      <c r="G36" s="1636"/>
      <c r="H36" s="351"/>
      <c r="N36" s="1641"/>
      <c r="O36" s="1366"/>
      <c r="Q36" s="1366"/>
      <c r="R36" s="1636"/>
      <c r="S36" s="1636"/>
      <c r="T36" s="1366"/>
      <c r="U36" s="1366"/>
      <c r="V36" s="1366"/>
      <c r="W36" s="1366"/>
      <c r="X36" s="1636"/>
      <c r="Y36" s="1366"/>
      <c r="Z36" s="1366"/>
      <c r="AA36" s="544"/>
      <c r="AB36" s="1366"/>
      <c r="AC36" s="1366"/>
      <c r="AD36" s="1366"/>
      <c r="AE36" s="1366"/>
      <c r="AF36" s="1366"/>
      <c r="AG36" s="1632"/>
      <c r="AH36" s="622"/>
      <c r="AI36" s="622"/>
      <c r="AJ36" s="622"/>
      <c r="AK36" s="622"/>
      <c r="AL36" s="1641">
        <v>11</v>
      </c>
    </row>
    <row r="37" s="1641" customFormat="1" ht="11.5" customHeight="1">
      <c r="A37" s="987"/>
      <c r="B37" s="987"/>
      <c r="C37" s="987"/>
      <c r="D37" s="987"/>
      <c r="E37" s="987"/>
      <c r="F37" s="1636"/>
      <c r="G37" s="1636"/>
      <c r="H37" s="351"/>
      <c r="L37" s="622"/>
      <c r="M37" s="622"/>
      <c r="N37" s="622"/>
      <c r="O37" s="1366"/>
      <c r="Q37" s="1366"/>
      <c r="R37" s="1636"/>
      <c r="S37" s="1636"/>
      <c r="T37" s="1366"/>
      <c r="U37" s="1366"/>
      <c r="V37" s="1366"/>
      <c r="W37" s="1366"/>
      <c r="X37" s="1636"/>
      <c r="Y37" s="1366"/>
      <c r="Z37" s="1366"/>
      <c r="AA37" s="544"/>
      <c r="AB37" s="1366"/>
      <c r="AC37" s="1366"/>
      <c r="AD37" s="1366"/>
      <c r="AE37" s="1366"/>
      <c r="AF37" s="1366"/>
      <c r="AG37" s="1632"/>
      <c r="AH37" s="622"/>
      <c r="AI37" s="622"/>
      <c r="AJ37" s="622"/>
      <c r="AK37" s="622"/>
      <c r="AL37" s="1641">
        <v>11</v>
      </c>
    </row>
    <row r="38" s="1641" customFormat="1" ht="11.5" customHeight="1">
      <c r="A38" s="987"/>
      <c r="B38" s="987"/>
      <c r="C38" s="987"/>
      <c r="D38" s="987"/>
      <c r="E38" s="987"/>
      <c r="F38" s="1636"/>
      <c r="G38" s="1636"/>
      <c r="H38" s="351"/>
      <c r="N38" s="1641"/>
      <c r="O38" s="1366"/>
      <c r="Q38" s="1366"/>
      <c r="R38" s="1636"/>
      <c r="S38" s="1636"/>
      <c r="T38" s="1366"/>
      <c r="U38" s="1366"/>
      <c r="V38" s="1366"/>
      <c r="W38" s="1366"/>
      <c r="X38" s="1636"/>
      <c r="Y38" s="1366"/>
      <c r="Z38" s="1366"/>
      <c r="AA38" s="544"/>
      <c r="AB38" s="1366"/>
      <c r="AC38" s="1366"/>
      <c r="AD38" s="1366"/>
      <c r="AE38" s="1366"/>
      <c r="AF38" s="1366"/>
      <c r="AG38" s="1632"/>
      <c r="AH38" s="622"/>
      <c r="AI38" s="622"/>
      <c r="AJ38" s="622"/>
      <c r="AK38" s="622"/>
      <c r="AL38" s="1641">
        <v>11</v>
      </c>
    </row>
    <row r="39" s="1641" customFormat="1" ht="11.5" customHeight="1">
      <c r="A39" s="987"/>
      <c r="B39" s="987"/>
      <c r="C39" s="987"/>
      <c r="D39" s="987"/>
      <c r="E39" s="987"/>
      <c r="F39" s="1636"/>
      <c r="G39" s="1636"/>
      <c r="H39" s="351"/>
      <c r="N39" s="1641"/>
      <c r="O39" s="1366"/>
      <c r="Q39" s="1366"/>
      <c r="R39" s="1636"/>
      <c r="S39" s="1636"/>
      <c r="T39" s="1366"/>
      <c r="U39" s="1366"/>
      <c r="V39" s="1366"/>
      <c r="W39" s="1366"/>
      <c r="X39" s="1636"/>
      <c r="Y39" s="1366"/>
      <c r="Z39" s="1366"/>
      <c r="AA39" s="544"/>
      <c r="AB39" s="1366"/>
      <c r="AC39" s="1366"/>
      <c r="AD39" s="1366"/>
      <c r="AE39" s="1366"/>
      <c r="AF39" s="1366"/>
      <c r="AG39" s="1632"/>
      <c r="AH39" s="622"/>
      <c r="AI39" s="622"/>
      <c r="AJ39" s="622"/>
      <c r="AK39" s="622"/>
      <c r="AL39" s="1641">
        <v>11</v>
      </c>
    </row>
    <row r="40" s="1641" customFormat="1" ht="11.5" customHeight="1">
      <c r="A40" s="987"/>
      <c r="B40" s="987"/>
      <c r="C40" s="987"/>
      <c r="D40" s="987"/>
      <c r="E40" s="987"/>
      <c r="F40" s="1636"/>
      <c r="G40" s="1636"/>
      <c r="H40" s="351"/>
      <c r="N40" s="1641"/>
      <c r="O40" s="1366"/>
      <c r="Q40" s="1366"/>
      <c r="R40" s="1636"/>
      <c r="S40" s="1636"/>
      <c r="T40" s="1366"/>
      <c r="U40" s="1366"/>
      <c r="V40" s="1366"/>
      <c r="W40" s="1366"/>
      <c r="X40" s="1636"/>
      <c r="Y40" s="1366"/>
      <c r="Z40" s="1366"/>
      <c r="AA40" s="544"/>
      <c r="AB40" s="1366"/>
      <c r="AC40" s="1366"/>
      <c r="AD40" s="1366"/>
      <c r="AE40" s="1366"/>
      <c r="AF40" s="1366"/>
      <c r="AG40" s="1632"/>
      <c r="AH40" s="622"/>
      <c r="AI40" s="622"/>
      <c r="AJ40" s="622"/>
      <c r="AK40" s="622"/>
      <c r="AL40" s="1641">
        <v>11</v>
      </c>
    </row>
    <row r="41" s="1641" customFormat="1" ht="11.5" customHeight="1">
      <c r="A41" s="987"/>
      <c r="B41" s="987"/>
      <c r="C41" s="987"/>
      <c r="D41" s="987"/>
      <c r="E41" s="987"/>
      <c r="F41" s="1636"/>
      <c r="G41" s="1636"/>
      <c r="H41" s="351"/>
      <c r="N41" s="1641"/>
      <c r="O41" s="1366"/>
      <c r="Q41" s="1366"/>
      <c r="R41" s="1636"/>
      <c r="S41" s="1636"/>
      <c r="T41" s="1366"/>
      <c r="U41" s="1366"/>
      <c r="V41" s="1366"/>
      <c r="W41" s="1366"/>
      <c r="X41" s="1636"/>
      <c r="Y41" s="1366"/>
      <c r="Z41" s="1366"/>
      <c r="AA41" s="544"/>
      <c r="AB41" s="1366"/>
      <c r="AC41" s="1366"/>
      <c r="AD41" s="1366"/>
      <c r="AE41" s="1366"/>
      <c r="AF41" s="1366"/>
      <c r="AG41" s="1632"/>
      <c r="AH41" s="622"/>
      <c r="AI41" s="622"/>
      <c r="AJ41" s="622"/>
      <c r="AK41" s="622"/>
      <c r="AL41" s="1641">
        <v>11</v>
      </c>
    </row>
    <row r="42" s="1641" customFormat="1" ht="11.5" customHeight="1">
      <c r="A42" s="987"/>
      <c r="B42" s="987"/>
      <c r="C42" s="987"/>
      <c r="D42" s="987"/>
      <c r="E42" s="987"/>
      <c r="F42" s="1636"/>
      <c r="G42" s="1636"/>
      <c r="H42" s="351"/>
      <c r="N42" s="1641"/>
      <c r="O42" s="1366"/>
      <c r="Q42" s="1366"/>
      <c r="R42" s="1636"/>
      <c r="S42" s="1636"/>
      <c r="T42" s="1366"/>
      <c r="U42" s="1366"/>
      <c r="V42" s="1366"/>
      <c r="W42" s="1366"/>
      <c r="X42" s="1636"/>
      <c r="Y42" s="1366"/>
      <c r="Z42" s="1366"/>
      <c r="AA42" s="544"/>
      <c r="AB42" s="1366"/>
      <c r="AC42" s="1366"/>
      <c r="AD42" s="1366"/>
      <c r="AE42" s="1366"/>
      <c r="AF42" s="1366"/>
      <c r="AG42" s="1632"/>
      <c r="AH42" s="622"/>
      <c r="AI42" s="622"/>
      <c r="AJ42" s="622"/>
      <c r="AK42" s="622"/>
      <c r="AL42" s="1641">
        <v>11</v>
      </c>
    </row>
    <row r="43" s="1641" customFormat="1" ht="11.5" customHeight="1">
      <c r="A43" s="987"/>
      <c r="B43" s="987"/>
      <c r="C43" s="987"/>
      <c r="D43" s="987"/>
      <c r="E43" s="987"/>
      <c r="F43" s="1636"/>
      <c r="G43" s="1636"/>
      <c r="H43" s="351"/>
      <c r="N43" s="1641"/>
      <c r="O43" s="1366"/>
      <c r="Q43" s="1366"/>
      <c r="R43" s="1636"/>
      <c r="S43" s="1636"/>
      <c r="T43" s="1366"/>
      <c r="U43" s="1366"/>
      <c r="V43" s="1366"/>
      <c r="W43" s="1366"/>
      <c r="X43" s="1636"/>
      <c r="Y43" s="1366"/>
      <c r="Z43" s="1366"/>
      <c r="AA43" s="544"/>
      <c r="AB43" s="1366"/>
      <c r="AC43" s="1366"/>
      <c r="AD43" s="1366"/>
      <c r="AE43" s="1366"/>
      <c r="AF43" s="1366"/>
      <c r="AG43" s="1632"/>
      <c r="AH43" s="622"/>
      <c r="AI43" s="622"/>
      <c r="AJ43" s="622"/>
      <c r="AK43" s="622"/>
      <c r="AL43" s="1641">
        <v>11</v>
      </c>
    </row>
    <row r="44" s="1641" customFormat="1" ht="11.5" customHeight="1">
      <c r="A44" s="987"/>
      <c r="B44" s="987"/>
      <c r="C44" s="987"/>
      <c r="D44" s="987"/>
      <c r="E44" s="987"/>
      <c r="F44" s="1636"/>
      <c r="G44" s="1636"/>
      <c r="H44" s="351"/>
      <c r="N44" s="1641"/>
      <c r="O44" s="1366"/>
      <c r="Q44" s="1366"/>
      <c r="R44" s="1636"/>
      <c r="S44" s="1636"/>
      <c r="T44" s="1366"/>
      <c r="U44" s="1366"/>
      <c r="V44" s="1366"/>
      <c r="W44" s="1366"/>
      <c r="X44" s="1636"/>
      <c r="Y44" s="1366"/>
      <c r="Z44" s="1366"/>
      <c r="AA44" s="544"/>
      <c r="AB44" s="1366"/>
      <c r="AC44" s="1366"/>
      <c r="AD44" s="1366"/>
      <c r="AE44" s="1366"/>
      <c r="AF44" s="1366"/>
      <c r="AG44" s="1632"/>
      <c r="AH44" s="622"/>
      <c r="AI44" s="622"/>
      <c r="AJ44" s="622"/>
      <c r="AK44" s="622"/>
      <c r="AL44" s="1641">
        <v>11</v>
      </c>
    </row>
    <row r="45" s="1641" customFormat="1" ht="11.5" customHeight="1">
      <c r="A45" s="987"/>
      <c r="B45" s="987"/>
      <c r="C45" s="987"/>
      <c r="D45" s="987"/>
      <c r="E45" s="987"/>
      <c r="F45" s="1636"/>
      <c r="G45" s="1636"/>
      <c r="H45" s="351"/>
      <c r="N45" s="1641"/>
      <c r="O45" s="1366"/>
      <c r="Q45" s="1366"/>
      <c r="R45" s="1636"/>
      <c r="S45" s="1636"/>
      <c r="T45" s="1366"/>
      <c r="U45" s="1366"/>
      <c r="V45" s="1366"/>
      <c r="W45" s="1366"/>
      <c r="X45" s="1636"/>
      <c r="Y45" s="1366"/>
      <c r="Z45" s="1366"/>
      <c r="AA45" s="544"/>
      <c r="AB45" s="1366"/>
      <c r="AC45" s="1366"/>
      <c r="AD45" s="1366"/>
      <c r="AE45" s="1366"/>
      <c r="AF45" s="1366"/>
      <c r="AG45" s="1632"/>
      <c r="AH45" s="622"/>
      <c r="AI45" s="622"/>
      <c r="AJ45" s="622"/>
      <c r="AK45" s="622"/>
      <c r="AL45" s="1641">
        <v>11</v>
      </c>
    </row>
    <row r="46" s="1641" customFormat="1" ht="11.5" customHeight="1">
      <c r="A46" s="987"/>
      <c r="B46" s="987"/>
      <c r="C46" s="987"/>
      <c r="D46" s="987"/>
      <c r="E46" s="987"/>
      <c r="F46" s="1636"/>
      <c r="G46" s="1636"/>
      <c r="H46" s="351"/>
      <c r="N46" s="1641"/>
      <c r="O46" s="1366"/>
      <c r="Q46" s="1366"/>
      <c r="R46" s="1636"/>
      <c r="S46" s="1636"/>
      <c r="T46" s="1366"/>
      <c r="U46" s="1366"/>
      <c r="V46" s="1366"/>
      <c r="W46" s="1366"/>
      <c r="X46" s="1636"/>
      <c r="Y46" s="1366"/>
      <c r="Z46" s="1366"/>
      <c r="AA46" s="544"/>
      <c r="AB46" s="1366"/>
      <c r="AC46" s="1366"/>
      <c r="AD46" s="1366"/>
      <c r="AE46" s="1366"/>
      <c r="AF46" s="1366"/>
      <c r="AG46" s="1632"/>
      <c r="AH46" s="622"/>
      <c r="AI46" s="622"/>
      <c r="AJ46" s="622"/>
      <c r="AK46" s="622"/>
      <c r="AL46" s="1641">
        <v>11</v>
      </c>
    </row>
    <row r="47" s="1641" customFormat="1" ht="11.5" customHeight="1">
      <c r="A47" s="987"/>
      <c r="B47" s="987"/>
      <c r="C47" s="987"/>
      <c r="D47" s="987"/>
      <c r="E47" s="987"/>
      <c r="F47" s="1636"/>
      <c r="G47" s="1636"/>
      <c r="H47" s="351"/>
      <c r="N47" s="1641"/>
      <c r="O47" s="1366"/>
      <c r="Q47" s="1366"/>
      <c r="R47" s="1636"/>
      <c r="S47" s="1636"/>
      <c r="T47" s="1366"/>
      <c r="U47" s="1366"/>
      <c r="V47" s="1366"/>
      <c r="W47" s="1366"/>
      <c r="X47" s="1636"/>
      <c r="Y47" s="1366"/>
      <c r="Z47" s="1366"/>
      <c r="AA47" s="544"/>
      <c r="AB47" s="1366"/>
      <c r="AC47" s="1366"/>
      <c r="AD47" s="1366"/>
      <c r="AE47" s="1366"/>
      <c r="AF47" s="1366"/>
      <c r="AG47" s="1632"/>
      <c r="AH47" s="622"/>
      <c r="AI47" s="622"/>
      <c r="AJ47" s="622"/>
      <c r="AK47" s="622"/>
      <c r="AL47" s="1641">
        <v>11</v>
      </c>
    </row>
    <row r="48" s="1641" customFormat="1" ht="11.5" customHeight="1">
      <c r="A48" s="987"/>
      <c r="B48" s="987"/>
      <c r="C48" s="987"/>
      <c r="D48" s="987"/>
      <c r="E48" s="987"/>
      <c r="F48" s="1636"/>
      <c r="G48" s="1636"/>
      <c r="H48" s="351"/>
      <c r="N48" s="1641"/>
      <c r="O48" s="1366"/>
      <c r="Q48" s="1366"/>
      <c r="R48" s="1636"/>
      <c r="S48" s="1636"/>
      <c r="T48" s="1366"/>
      <c r="U48" s="1366"/>
      <c r="V48" s="1366"/>
      <c r="W48" s="1366"/>
      <c r="X48" s="1636"/>
      <c r="Y48" s="1366"/>
      <c r="Z48" s="1366"/>
      <c r="AA48" s="544"/>
      <c r="AB48" s="1366"/>
      <c r="AC48" s="1366"/>
      <c r="AD48" s="1366"/>
      <c r="AE48" s="1366"/>
      <c r="AF48" s="1366"/>
      <c r="AG48" s="1632"/>
      <c r="AH48" s="622"/>
      <c r="AI48" s="622"/>
      <c r="AJ48" s="622"/>
      <c r="AK48" s="622"/>
      <c r="AL48" s="1641">
        <v>11</v>
      </c>
    </row>
    <row r="49" s="1641" customFormat="1" ht="11.5" customHeight="1">
      <c r="A49" s="987"/>
      <c r="B49" s="987"/>
      <c r="C49" s="987"/>
      <c r="D49" s="987"/>
      <c r="E49" s="987"/>
      <c r="F49" s="1636"/>
      <c r="G49" s="1636"/>
      <c r="H49" s="351"/>
      <c r="N49" s="1641"/>
      <c r="O49" s="1366"/>
      <c r="Q49" s="1366"/>
      <c r="R49" s="1636"/>
      <c r="S49" s="1636"/>
      <c r="T49" s="1366"/>
      <c r="U49" s="1366"/>
      <c r="V49" s="1366"/>
      <c r="W49" s="1366"/>
      <c r="X49" s="1636"/>
      <c r="Y49" s="1366"/>
      <c r="Z49" s="1366"/>
      <c r="AA49" s="544"/>
      <c r="AB49" s="1366"/>
      <c r="AC49" s="1366"/>
      <c r="AD49" s="1366"/>
      <c r="AE49" s="1366"/>
      <c r="AF49" s="1366"/>
      <c r="AG49" s="1632"/>
      <c r="AH49" s="622"/>
      <c r="AI49" s="622"/>
      <c r="AJ49" s="622"/>
      <c r="AK49" s="622"/>
      <c r="AL49" s="1641">
        <v>11</v>
      </c>
    </row>
    <row r="50" s="1641" customFormat="1" ht="11.5" customHeight="1">
      <c r="A50" s="987"/>
      <c r="B50" s="987"/>
      <c r="C50" s="987"/>
      <c r="D50" s="987"/>
      <c r="E50" s="987"/>
      <c r="F50" s="1636"/>
      <c r="G50" s="1636"/>
      <c r="H50" s="351"/>
      <c r="N50" s="1641"/>
      <c r="O50" s="1366"/>
      <c r="Q50" s="1366"/>
      <c r="R50" s="1636"/>
      <c r="S50" s="1636"/>
      <c r="T50" s="1366"/>
      <c r="U50" s="1366"/>
      <c r="V50" s="1366"/>
      <c r="W50" s="1366"/>
      <c r="X50" s="1636"/>
      <c r="Y50" s="1366"/>
      <c r="Z50" s="1366"/>
      <c r="AA50" s="544"/>
      <c r="AB50" s="1366"/>
      <c r="AC50" s="1366"/>
      <c r="AD50" s="1366"/>
      <c r="AE50" s="1366"/>
      <c r="AF50" s="1366"/>
      <c r="AG50" s="1632"/>
      <c r="AH50" s="622"/>
      <c r="AI50" s="622"/>
      <c r="AJ50" s="622"/>
      <c r="AK50" s="622"/>
      <c r="AL50" s="1641">
        <v>11</v>
      </c>
    </row>
    <row r="51" s="1641" customFormat="1" ht="11.5" customHeight="1">
      <c r="A51" s="987"/>
      <c r="B51" s="987"/>
      <c r="C51" s="987"/>
      <c r="D51" s="987"/>
      <c r="E51" s="987"/>
      <c r="F51" s="1636"/>
      <c r="G51" s="1636"/>
      <c r="H51" s="351"/>
      <c r="N51" s="1641"/>
      <c r="O51" s="1366"/>
      <c r="Q51" s="1366"/>
      <c r="R51" s="1636"/>
      <c r="S51" s="1636"/>
      <c r="T51" s="1366"/>
      <c r="U51" s="1366"/>
      <c r="V51" s="1366"/>
      <c r="W51" s="1366"/>
      <c r="X51" s="1636"/>
      <c r="Y51" s="1366"/>
      <c r="Z51" s="1366"/>
      <c r="AA51" s="544"/>
      <c r="AB51" s="1366"/>
      <c r="AC51" s="1366"/>
      <c r="AD51" s="1366"/>
      <c r="AE51" s="1366"/>
      <c r="AF51" s="1366"/>
      <c r="AG51" s="1632"/>
      <c r="AH51" s="622"/>
      <c r="AI51" s="622"/>
      <c r="AJ51" s="622"/>
      <c r="AK51" s="622"/>
      <c r="AL51" s="1641">
        <v>11</v>
      </c>
    </row>
    <row r="52" s="1641" customFormat="1" ht="11.5" customHeight="1">
      <c r="A52" s="987"/>
      <c r="B52" s="987"/>
      <c r="C52" s="987"/>
      <c r="D52" s="987"/>
      <c r="E52" s="987"/>
      <c r="F52" s="1636"/>
      <c r="G52" s="1636"/>
      <c r="H52" s="351"/>
      <c r="N52" s="1641"/>
      <c r="O52" s="1366"/>
      <c r="Q52" s="1366"/>
      <c r="R52" s="1636"/>
      <c r="S52" s="1636"/>
      <c r="T52" s="1366"/>
      <c r="U52" s="1366"/>
      <c r="V52" s="1366"/>
      <c r="W52" s="1366"/>
      <c r="X52" s="1636"/>
      <c r="Y52" s="1366"/>
      <c r="Z52" s="1366"/>
      <c r="AA52" s="544"/>
      <c r="AB52" s="1366"/>
      <c r="AC52" s="1366"/>
      <c r="AD52" s="1366"/>
      <c r="AE52" s="1366"/>
      <c r="AF52" s="1366"/>
      <c r="AG52" s="1632"/>
      <c r="AH52" s="622"/>
      <c r="AI52" s="622"/>
      <c r="AJ52" s="622"/>
      <c r="AK52" s="622"/>
      <c r="AL52" s="1641">
        <v>11</v>
      </c>
    </row>
    <row r="53" s="1641" customFormat="1" ht="11.5" customHeight="1">
      <c r="A53" s="987"/>
      <c r="B53" s="987"/>
      <c r="C53" s="987"/>
      <c r="D53" s="987"/>
      <c r="E53" s="987"/>
      <c r="F53" s="1636"/>
      <c r="G53" s="1636"/>
      <c r="H53" s="351"/>
      <c r="N53" s="1641"/>
      <c r="O53" s="1366"/>
      <c r="Q53" s="1366"/>
      <c r="R53" s="1636"/>
      <c r="S53" s="1636"/>
      <c r="T53" s="1366"/>
      <c r="U53" s="1366"/>
      <c r="V53" s="1366"/>
      <c r="W53" s="1366"/>
      <c r="X53" s="1636"/>
      <c r="Y53" s="1366"/>
      <c r="Z53" s="1366"/>
      <c r="AA53" s="544"/>
      <c r="AB53" s="1366"/>
      <c r="AC53" s="1366"/>
      <c r="AD53" s="1366"/>
      <c r="AE53" s="1366"/>
      <c r="AF53" s="1366"/>
      <c r="AG53" s="1632"/>
      <c r="AH53" s="622"/>
      <c r="AI53" s="622"/>
      <c r="AJ53" s="622"/>
      <c r="AK53" s="622"/>
      <c r="AL53" s="1641">
        <v>11</v>
      </c>
    </row>
    <row r="54" s="1641" customFormat="1" ht="11.5" customHeight="1">
      <c r="A54" s="987"/>
      <c r="B54" s="987"/>
      <c r="C54" s="987"/>
      <c r="D54" s="987"/>
      <c r="E54" s="987"/>
      <c r="F54" s="1636"/>
      <c r="G54" s="1636"/>
      <c r="H54" s="351"/>
      <c r="N54" s="1641"/>
      <c r="O54" s="1366"/>
      <c r="Q54" s="1366"/>
      <c r="R54" s="1636"/>
      <c r="S54" s="1636"/>
      <c r="T54" s="1366"/>
      <c r="U54" s="1366"/>
      <c r="V54" s="1366"/>
      <c r="W54" s="1366"/>
      <c r="X54" s="1636"/>
      <c r="Y54" s="1366"/>
      <c r="Z54" s="1366"/>
      <c r="AA54" s="544"/>
      <c r="AB54" s="1366"/>
      <c r="AC54" s="1366"/>
      <c r="AD54" s="1366"/>
      <c r="AE54" s="1366"/>
      <c r="AF54" s="1366"/>
      <c r="AG54" s="1632"/>
      <c r="AH54" s="622"/>
      <c r="AI54" s="622"/>
      <c r="AJ54" s="622"/>
      <c r="AK54" s="622"/>
      <c r="AL54" s="1641">
        <v>11</v>
      </c>
    </row>
    <row r="55" s="1641" customFormat="1" ht="11.5" customHeight="1">
      <c r="A55" s="987"/>
      <c r="B55" s="987"/>
      <c r="C55" s="987"/>
      <c r="D55" s="987"/>
      <c r="E55" s="987"/>
      <c r="F55" s="1636"/>
      <c r="G55" s="1636"/>
      <c r="H55" s="351"/>
      <c r="N55" s="1641"/>
      <c r="O55" s="1366"/>
      <c r="Q55" s="1366"/>
      <c r="R55" s="1636"/>
      <c r="S55" s="1636"/>
      <c r="T55" s="1366"/>
      <c r="U55" s="1366"/>
      <c r="V55" s="1366"/>
      <c r="W55" s="1366"/>
      <c r="X55" s="1636"/>
      <c r="Y55" s="1366"/>
      <c r="Z55" s="1366"/>
      <c r="AA55" s="544"/>
      <c r="AB55" s="1366"/>
      <c r="AC55" s="1366"/>
      <c r="AD55" s="1366"/>
      <c r="AE55" s="1366"/>
      <c r="AF55" s="1366"/>
      <c r="AG55" s="1632"/>
      <c r="AH55" s="622"/>
      <c r="AI55" s="622"/>
      <c r="AJ55" s="622"/>
      <c r="AK55" s="622"/>
      <c r="AL55" s="1641">
        <v>11</v>
      </c>
    </row>
    <row r="56" s="1641" customFormat="1" ht="11.5" customHeight="1">
      <c r="A56" s="987"/>
      <c r="B56" s="987"/>
      <c r="C56" s="987"/>
      <c r="D56" s="987"/>
      <c r="E56" s="987"/>
      <c r="F56" s="1636"/>
      <c r="G56" s="1636"/>
      <c r="H56" s="351"/>
      <c r="N56" s="1641"/>
      <c r="O56" s="1366"/>
      <c r="Q56" s="1366"/>
      <c r="R56" s="1636"/>
      <c r="S56" s="1636"/>
      <c r="T56" s="1366"/>
      <c r="U56" s="1366"/>
      <c r="V56" s="1366"/>
      <c r="W56" s="1366"/>
      <c r="X56" s="1636"/>
      <c r="Y56" s="1366"/>
      <c r="Z56" s="1366"/>
      <c r="AA56" s="544"/>
      <c r="AB56" s="1366"/>
      <c r="AC56" s="1366"/>
      <c r="AD56" s="1366"/>
      <c r="AE56" s="1366"/>
      <c r="AF56" s="1366"/>
      <c r="AG56" s="1632"/>
      <c r="AH56" s="622"/>
      <c r="AI56" s="622"/>
      <c r="AJ56" s="622"/>
      <c r="AK56" s="622"/>
      <c r="AL56" s="1641">
        <v>11</v>
      </c>
    </row>
    <row r="57" s="1641" customFormat="1" ht="11.5" customHeight="1">
      <c r="A57" s="987"/>
      <c r="B57" s="987"/>
      <c r="C57" s="987"/>
      <c r="D57" s="987"/>
      <c r="E57" s="987"/>
      <c r="F57" s="1636"/>
      <c r="G57" s="1636"/>
      <c r="H57" s="351"/>
      <c r="N57" s="1641"/>
      <c r="O57" s="1366"/>
      <c r="Q57" s="1366"/>
      <c r="R57" s="1636"/>
      <c r="S57" s="1636"/>
      <c r="T57" s="1366"/>
      <c r="U57" s="1366"/>
      <c r="V57" s="1366"/>
      <c r="W57" s="1366"/>
      <c r="X57" s="1636"/>
      <c r="Y57" s="1366"/>
      <c r="Z57" s="1366"/>
      <c r="AA57" s="544"/>
      <c r="AB57" s="1366"/>
      <c r="AC57" s="1366"/>
      <c r="AD57" s="1366"/>
      <c r="AE57" s="1366"/>
      <c r="AF57" s="1366"/>
      <c r="AG57" s="1632"/>
      <c r="AH57" s="622"/>
      <c r="AI57" s="622"/>
      <c r="AJ57" s="622"/>
      <c r="AK57" s="622"/>
      <c r="AL57" s="1641">
        <v>11</v>
      </c>
    </row>
    <row r="58" s="1641" customFormat="1" ht="11.5" customHeight="1">
      <c r="A58" s="987"/>
      <c r="B58" s="987"/>
      <c r="C58" s="987"/>
      <c r="D58" s="987"/>
      <c r="E58" s="987"/>
      <c r="F58" s="1636"/>
      <c r="G58" s="1636"/>
      <c r="H58" s="351"/>
      <c r="N58" s="1641"/>
      <c r="O58" s="1366"/>
      <c r="Q58" s="1366"/>
      <c r="R58" s="1636"/>
      <c r="S58" s="1636"/>
      <c r="T58" s="1366"/>
      <c r="U58" s="1366"/>
      <c r="V58" s="1366"/>
      <c r="W58" s="1366"/>
      <c r="X58" s="1636"/>
      <c r="Y58" s="1366"/>
      <c r="Z58" s="1366"/>
      <c r="AA58" s="544"/>
      <c r="AB58" s="1366"/>
      <c r="AC58" s="1366"/>
      <c r="AD58" s="1366"/>
      <c r="AE58" s="1366"/>
      <c r="AF58" s="1366"/>
      <c r="AG58" s="1632"/>
      <c r="AH58" s="622"/>
      <c r="AI58" s="622"/>
      <c r="AJ58" s="622"/>
      <c r="AK58" s="622"/>
      <c r="AL58" s="1641">
        <v>11</v>
      </c>
    </row>
    <row r="59" s="1641" customFormat="1" ht="11.5" customHeight="1">
      <c r="A59" s="987"/>
      <c r="B59" s="987"/>
      <c r="C59" s="987"/>
      <c r="D59" s="987"/>
      <c r="E59" s="987"/>
      <c r="F59" s="1636"/>
      <c r="G59" s="1636"/>
      <c r="H59" s="351"/>
      <c r="N59" s="1641"/>
      <c r="O59" s="1366"/>
      <c r="Q59" s="1366"/>
      <c r="R59" s="1636"/>
      <c r="S59" s="1636"/>
      <c r="T59" s="1366"/>
      <c r="U59" s="1366"/>
      <c r="V59" s="1366"/>
      <c r="W59" s="1366"/>
      <c r="X59" s="1636"/>
      <c r="Y59" s="1366"/>
      <c r="Z59" s="1366"/>
      <c r="AA59" s="544"/>
      <c r="AB59" s="1366"/>
      <c r="AC59" s="1366"/>
      <c r="AD59" s="1366"/>
      <c r="AE59" s="1366"/>
      <c r="AF59" s="1366"/>
      <c r="AG59" s="1632"/>
      <c r="AH59" s="622"/>
      <c r="AI59" s="622"/>
      <c r="AJ59" s="622"/>
      <c r="AK59" s="622"/>
      <c r="AL59" s="1641">
        <v>11</v>
      </c>
    </row>
    <row r="60" s="1641" customFormat="1" ht="11.5" customHeight="1">
      <c r="A60" s="987"/>
      <c r="B60" s="987"/>
      <c r="C60" s="987"/>
      <c r="D60" s="987"/>
      <c r="E60" s="987"/>
      <c r="F60" s="1636"/>
      <c r="G60" s="1636"/>
      <c r="H60" s="351"/>
      <c r="N60" s="1641"/>
      <c r="O60" s="1366"/>
      <c r="Q60" s="1366"/>
      <c r="R60" s="1636"/>
      <c r="S60" s="1636"/>
      <c r="T60" s="1366"/>
      <c r="U60" s="1366"/>
      <c r="V60" s="1366"/>
      <c r="W60" s="1366"/>
      <c r="X60" s="1636"/>
      <c r="Y60" s="1366"/>
      <c r="Z60" s="1366"/>
      <c r="AA60" s="544"/>
      <c r="AB60" s="1366"/>
      <c r="AC60" s="1366"/>
      <c r="AD60" s="1366"/>
      <c r="AE60" s="1366"/>
      <c r="AF60" s="1366"/>
      <c r="AG60" s="1632"/>
      <c r="AH60" s="622"/>
      <c r="AI60" s="622"/>
      <c r="AJ60" s="622"/>
      <c r="AK60" s="622"/>
      <c r="AL60" s="1641">
        <v>11</v>
      </c>
    </row>
    <row r="61" s="1641" customFormat="1" ht="11.5" customHeight="1">
      <c r="A61" s="987"/>
      <c r="B61" s="987"/>
      <c r="C61" s="987"/>
      <c r="D61" s="987"/>
      <c r="E61" s="987"/>
      <c r="F61" s="1636"/>
      <c r="G61" s="1636"/>
      <c r="H61" s="351"/>
      <c r="N61" s="1641"/>
      <c r="O61" s="1366"/>
      <c r="Q61" s="1366"/>
      <c r="R61" s="1636"/>
      <c r="S61" s="1636"/>
      <c r="T61" s="1366"/>
      <c r="U61" s="1366"/>
      <c r="V61" s="1366"/>
      <c r="W61" s="1366"/>
      <c r="X61" s="1636"/>
      <c r="Y61" s="1366"/>
      <c r="Z61" s="1366"/>
      <c r="AA61" s="544"/>
      <c r="AB61" s="1366"/>
      <c r="AC61" s="1366"/>
      <c r="AD61" s="1366"/>
      <c r="AE61" s="1366"/>
      <c r="AF61" s="1366"/>
      <c r="AG61" s="1632"/>
      <c r="AH61" s="622"/>
      <c r="AI61" s="622"/>
      <c r="AJ61" s="622"/>
      <c r="AK61" s="622"/>
      <c r="AL61" s="1641">
        <v>11</v>
      </c>
    </row>
    <row r="62" s="1641" customFormat="1" ht="11.5" customHeight="1">
      <c r="A62" s="987"/>
      <c r="B62" s="987"/>
      <c r="C62" s="987"/>
      <c r="D62" s="987"/>
      <c r="E62" s="987"/>
      <c r="F62" s="1636"/>
      <c r="G62" s="1636"/>
      <c r="H62" s="351"/>
      <c r="N62" s="1641"/>
      <c r="O62" s="1366"/>
      <c r="Q62" s="1366"/>
      <c r="R62" s="1636"/>
      <c r="S62" s="1636"/>
      <c r="T62" s="1366"/>
      <c r="U62" s="1366"/>
      <c r="V62" s="1366"/>
      <c r="W62" s="1366"/>
      <c r="X62" s="1636"/>
      <c r="Y62" s="1366"/>
      <c r="Z62" s="1366"/>
      <c r="AA62" s="544"/>
      <c r="AB62" s="1366"/>
      <c r="AC62" s="1366"/>
      <c r="AD62" s="1366"/>
      <c r="AE62" s="1366"/>
      <c r="AF62" s="1366"/>
      <c r="AG62" s="1632"/>
      <c r="AH62" s="622"/>
      <c r="AI62" s="622"/>
      <c r="AJ62" s="622"/>
      <c r="AK62" s="622"/>
      <c r="AL62" s="1641">
        <v>11</v>
      </c>
    </row>
    <row r="63" s="1641" customFormat="1" ht="11.5" customHeight="1">
      <c r="A63" s="987"/>
      <c r="B63" s="987"/>
      <c r="C63" s="987"/>
      <c r="D63" s="987"/>
      <c r="E63" s="987"/>
      <c r="F63" s="1636"/>
      <c r="G63" s="1636"/>
      <c r="H63" s="351"/>
      <c r="N63" s="1641"/>
      <c r="O63" s="1366"/>
      <c r="Q63" s="1366"/>
      <c r="R63" s="1636"/>
      <c r="S63" s="1636"/>
      <c r="T63" s="1366"/>
      <c r="U63" s="1366"/>
      <c r="V63" s="1366"/>
      <c r="W63" s="1366"/>
      <c r="X63" s="1636"/>
      <c r="Y63" s="1366"/>
      <c r="Z63" s="1366"/>
      <c r="AA63" s="544"/>
      <c r="AB63" s="1366"/>
      <c r="AC63" s="1366"/>
      <c r="AD63" s="1366"/>
      <c r="AE63" s="1366"/>
      <c r="AF63" s="1366"/>
      <c r="AG63" s="1632"/>
      <c r="AH63" s="622"/>
      <c r="AI63" s="622"/>
      <c r="AJ63" s="622"/>
      <c r="AK63" s="622"/>
      <c r="AL63" s="1641">
        <v>11</v>
      </c>
    </row>
    <row r="64" s="1641" customFormat="1" ht="11.5" customHeight="1">
      <c r="A64" s="987"/>
      <c r="B64" s="987"/>
      <c r="C64" s="987"/>
      <c r="D64" s="987"/>
      <c r="E64" s="987"/>
      <c r="F64" s="1636"/>
      <c r="G64" s="1636"/>
      <c r="H64" s="351"/>
      <c r="N64" s="1641"/>
      <c r="O64" s="1366"/>
      <c r="Q64" s="1366"/>
      <c r="R64" s="1636"/>
      <c r="S64" s="1636"/>
      <c r="T64" s="1366"/>
      <c r="U64" s="1366"/>
      <c r="V64" s="1366"/>
      <c r="W64" s="1366"/>
      <c r="X64" s="1636"/>
      <c r="Y64" s="1366"/>
      <c r="Z64" s="1366"/>
      <c r="AA64" s="544"/>
      <c r="AB64" s="1366"/>
      <c r="AC64" s="1366"/>
      <c r="AD64" s="1366"/>
      <c r="AE64" s="1366"/>
      <c r="AF64" s="1366"/>
      <c r="AG64" s="1632"/>
      <c r="AH64" s="622"/>
      <c r="AI64" s="622"/>
      <c r="AJ64" s="622"/>
      <c r="AK64" s="622"/>
      <c r="AL64" s="1641">
        <v>11</v>
      </c>
    </row>
    <row r="65" s="1641" customFormat="1" ht="11.5" customHeight="1">
      <c r="A65" s="987"/>
      <c r="B65" s="987"/>
      <c r="C65" s="987"/>
      <c r="D65" s="987"/>
      <c r="E65" s="987"/>
      <c r="F65" s="1636"/>
      <c r="G65" s="1636"/>
      <c r="H65" s="351"/>
      <c r="N65" s="1641"/>
      <c r="O65" s="1366"/>
      <c r="Q65" s="1366"/>
      <c r="R65" s="1636"/>
      <c r="S65" s="1636"/>
      <c r="T65" s="1366"/>
      <c r="U65" s="1366"/>
      <c r="V65" s="1366"/>
      <c r="W65" s="1366"/>
      <c r="X65" s="1636"/>
      <c r="Y65" s="1366"/>
      <c r="Z65" s="1366"/>
      <c r="AA65" s="544"/>
      <c r="AB65" s="1366"/>
      <c r="AC65" s="1366"/>
      <c r="AD65" s="1366"/>
      <c r="AE65" s="1366"/>
      <c r="AF65" s="1366"/>
      <c r="AG65" s="1632"/>
      <c r="AH65" s="622"/>
      <c r="AI65" s="622"/>
      <c r="AJ65" s="622"/>
      <c r="AK65" s="622"/>
      <c r="AL65" s="1641">
        <v>11</v>
      </c>
    </row>
    <row r="66" s="1641" customFormat="1" ht="11.5" customHeight="1">
      <c r="A66" s="987"/>
      <c r="B66" s="987"/>
      <c r="C66" s="987"/>
      <c r="D66" s="987"/>
      <c r="E66" s="987"/>
      <c r="F66" s="1636"/>
      <c r="G66" s="1636"/>
      <c r="H66" s="351"/>
      <c r="N66" s="1641"/>
      <c r="O66" s="1366"/>
      <c r="Q66" s="1366"/>
      <c r="R66" s="1636"/>
      <c r="S66" s="1636"/>
      <c r="T66" s="1366"/>
      <c r="U66" s="1366"/>
      <c r="V66" s="1366"/>
      <c r="W66" s="1366"/>
      <c r="X66" s="1636"/>
      <c r="Y66" s="1366"/>
      <c r="Z66" s="1366"/>
      <c r="AA66" s="544"/>
      <c r="AB66" s="1366"/>
      <c r="AC66" s="1366"/>
      <c r="AD66" s="1366"/>
      <c r="AE66" s="1366"/>
      <c r="AF66" s="1366"/>
      <c r="AG66" s="1632"/>
      <c r="AH66" s="622"/>
      <c r="AI66" s="622"/>
      <c r="AJ66" s="622"/>
      <c r="AK66" s="622"/>
      <c r="AL66" s="1641">
        <v>11</v>
      </c>
    </row>
    <row r="67" s="1641" customFormat="1" ht="11.5" customHeight="1">
      <c r="A67" s="987"/>
      <c r="B67" s="987"/>
      <c r="C67" s="987"/>
      <c r="D67" s="987"/>
      <c r="E67" s="987"/>
      <c r="F67" s="1636"/>
      <c r="G67" s="1636"/>
      <c r="H67" s="351"/>
      <c r="N67" s="1641"/>
      <c r="O67" s="1366"/>
      <c r="Q67" s="1366"/>
      <c r="R67" s="1636"/>
      <c r="S67" s="1636"/>
      <c r="T67" s="1366"/>
      <c r="U67" s="1366"/>
      <c r="V67" s="1366"/>
      <c r="W67" s="1366"/>
      <c r="X67" s="1636"/>
      <c r="Y67" s="1366"/>
      <c r="Z67" s="1366"/>
      <c r="AA67" s="544"/>
      <c r="AB67" s="1366"/>
      <c r="AC67" s="1366"/>
      <c r="AD67" s="1366"/>
      <c r="AE67" s="1366"/>
      <c r="AF67" s="1366"/>
      <c r="AG67" s="1632"/>
      <c r="AH67" s="622"/>
      <c r="AI67" s="622"/>
      <c r="AJ67" s="622"/>
      <c r="AK67" s="622"/>
      <c r="AL67" s="1641">
        <v>11</v>
      </c>
    </row>
    <row r="68" s="1641" customFormat="1" ht="11.5" customHeight="1">
      <c r="A68" s="987"/>
      <c r="B68" s="987"/>
      <c r="C68" s="987"/>
      <c r="D68" s="987"/>
      <c r="E68" s="987"/>
      <c r="F68" s="1636"/>
      <c r="G68" s="1636"/>
      <c r="H68" s="351"/>
      <c r="N68" s="1641"/>
      <c r="O68" s="1366"/>
      <c r="Q68" s="1366"/>
      <c r="R68" s="1636"/>
      <c r="S68" s="1636"/>
      <c r="T68" s="1366"/>
      <c r="U68" s="1366"/>
      <c r="V68" s="1366"/>
      <c r="W68" s="1366"/>
      <c r="X68" s="1636"/>
      <c r="Y68" s="1366"/>
      <c r="Z68" s="1366"/>
      <c r="AA68" s="544"/>
      <c r="AB68" s="1366"/>
      <c r="AC68" s="1366"/>
      <c r="AD68" s="1366"/>
      <c r="AE68" s="1366"/>
      <c r="AF68" s="1366"/>
      <c r="AG68" s="1632"/>
      <c r="AH68" s="622"/>
      <c r="AI68" s="622"/>
      <c r="AJ68" s="622"/>
      <c r="AK68" s="622"/>
      <c r="AL68" s="1641">
        <v>11</v>
      </c>
    </row>
    <row r="69" s="1641" customFormat="1" ht="11.5" customHeight="1">
      <c r="A69" s="987"/>
      <c r="B69" s="987"/>
      <c r="C69" s="987"/>
      <c r="D69" s="987"/>
      <c r="E69" s="987"/>
      <c r="F69" s="1636"/>
      <c r="G69" s="1636"/>
      <c r="H69" s="351"/>
      <c r="N69" s="1641"/>
      <c r="O69" s="1366"/>
      <c r="Q69" s="1366"/>
      <c r="R69" s="1636"/>
      <c r="S69" s="1636"/>
      <c r="T69" s="1366"/>
      <c r="U69" s="1366"/>
      <c r="V69" s="1366"/>
      <c r="W69" s="1366"/>
      <c r="X69" s="1636"/>
      <c r="Y69" s="1366"/>
      <c r="Z69" s="1366"/>
      <c r="AA69" s="544"/>
      <c r="AB69" s="1366"/>
      <c r="AC69" s="1366"/>
      <c r="AD69" s="1366"/>
      <c r="AE69" s="1366"/>
      <c r="AF69" s="1366"/>
      <c r="AG69" s="1632"/>
      <c r="AH69" s="622"/>
      <c r="AI69" s="622"/>
      <c r="AJ69" s="622"/>
      <c r="AK69" s="622"/>
      <c r="AL69" s="1641">
        <v>11</v>
      </c>
    </row>
    <row r="70" s="1641" customFormat="1" ht="11.5" customHeight="1">
      <c r="A70" s="987"/>
      <c r="B70" s="987"/>
      <c r="C70" s="987"/>
      <c r="D70" s="987"/>
      <c r="E70" s="987"/>
      <c r="F70" s="1636"/>
      <c r="G70" s="1636"/>
      <c r="H70" s="351"/>
      <c r="N70" s="1641"/>
      <c r="O70" s="1366"/>
      <c r="Q70" s="1366"/>
      <c r="R70" s="1636"/>
      <c r="S70" s="1636"/>
      <c r="T70" s="1366"/>
      <c r="U70" s="1366"/>
      <c r="V70" s="1366"/>
      <c r="W70" s="1366"/>
      <c r="X70" s="1636"/>
      <c r="Y70" s="1366"/>
      <c r="Z70" s="1366"/>
      <c r="AA70" s="544"/>
      <c r="AB70" s="1366"/>
      <c r="AC70" s="1366"/>
      <c r="AD70" s="1366"/>
      <c r="AE70" s="1366"/>
      <c r="AF70" s="1366"/>
      <c r="AG70" s="1632"/>
      <c r="AH70" s="622"/>
      <c r="AI70" s="622"/>
      <c r="AJ70" s="622"/>
      <c r="AK70" s="622"/>
      <c r="AL70" s="1641">
        <v>11</v>
      </c>
    </row>
    <row r="71" s="1641" customFormat="1" ht="11.5" customHeight="1">
      <c r="A71" s="987"/>
      <c r="B71" s="987"/>
      <c r="C71" s="987"/>
      <c r="D71" s="987"/>
      <c r="E71" s="987"/>
      <c r="F71" s="1636"/>
      <c r="G71" s="1636"/>
      <c r="H71" s="351"/>
      <c r="N71" s="1641"/>
      <c r="O71" s="1366"/>
      <c r="Q71" s="1366"/>
      <c r="R71" s="1636"/>
      <c r="S71" s="1636"/>
      <c r="T71" s="1366"/>
      <c r="U71" s="1366"/>
      <c r="V71" s="1366"/>
      <c r="W71" s="1366"/>
      <c r="X71" s="1636"/>
      <c r="Y71" s="1366"/>
      <c r="Z71" s="1366"/>
      <c r="AA71" s="544"/>
      <c r="AB71" s="1366"/>
      <c r="AC71" s="1366"/>
      <c r="AD71" s="1366"/>
      <c r="AE71" s="1366"/>
      <c r="AF71" s="1366"/>
      <c r="AG71" s="1632"/>
      <c r="AH71" s="622"/>
      <c r="AI71" s="622"/>
      <c r="AJ71" s="622"/>
      <c r="AK71" s="622"/>
      <c r="AL71" s="1641">
        <v>11</v>
      </c>
    </row>
    <row r="72" s="1641" customFormat="1" ht="11.5" customHeight="1">
      <c r="A72" s="987"/>
      <c r="B72" s="987"/>
      <c r="C72" s="987"/>
      <c r="D72" s="987"/>
      <c r="E72" s="987"/>
      <c r="F72" s="1636"/>
      <c r="G72" s="1636"/>
      <c r="H72" s="351"/>
      <c r="N72" s="1641"/>
      <c r="O72" s="1366"/>
      <c r="Q72" s="1366"/>
      <c r="R72" s="1636"/>
      <c r="S72" s="1636"/>
      <c r="T72" s="1366"/>
      <c r="U72" s="1366"/>
      <c r="V72" s="1366"/>
      <c r="W72" s="1366"/>
      <c r="X72" s="1636"/>
      <c r="Y72" s="1366"/>
      <c r="Z72" s="1366"/>
      <c r="AA72" s="544"/>
      <c r="AB72" s="1366"/>
      <c r="AC72" s="1366"/>
      <c r="AD72" s="1366"/>
      <c r="AE72" s="1366"/>
      <c r="AF72" s="1366"/>
      <c r="AG72" s="1632"/>
      <c r="AH72" s="622"/>
      <c r="AI72" s="622"/>
      <c r="AJ72" s="622"/>
      <c r="AK72" s="622"/>
      <c r="AL72" s="1641">
        <v>11</v>
      </c>
    </row>
    <row r="73" s="1641" customFormat="1" ht="11.5" customHeight="1">
      <c r="A73" s="987"/>
      <c r="B73" s="987"/>
      <c r="C73" s="987"/>
      <c r="D73" s="987"/>
      <c r="E73" s="987"/>
      <c r="F73" s="1636"/>
      <c r="G73" s="1636"/>
      <c r="H73" s="351"/>
      <c r="N73" s="1641"/>
      <c r="O73" s="1366"/>
      <c r="Q73" s="1366"/>
      <c r="R73" s="1636"/>
      <c r="S73" s="1636"/>
      <c r="T73" s="1366"/>
      <c r="U73" s="1366"/>
      <c r="V73" s="1366"/>
      <c r="W73" s="1366"/>
      <c r="X73" s="1636"/>
      <c r="Y73" s="1366"/>
      <c r="Z73" s="1366"/>
      <c r="AA73" s="544"/>
      <c r="AB73" s="1366"/>
      <c r="AC73" s="1366"/>
      <c r="AD73" s="1366"/>
      <c r="AE73" s="1366"/>
      <c r="AF73" s="1366"/>
      <c r="AG73" s="1632"/>
      <c r="AH73" s="622"/>
      <c r="AI73" s="622"/>
      <c r="AJ73" s="622"/>
      <c r="AK73" s="622"/>
      <c r="AL73" s="1641">
        <v>11</v>
      </c>
    </row>
    <row r="74" s="1641" customFormat="1" ht="11.5" customHeight="1">
      <c r="A74" s="987"/>
      <c r="B74" s="987"/>
      <c r="C74" s="987"/>
      <c r="D74" s="987"/>
      <c r="E74" s="987"/>
      <c r="F74" s="1636"/>
      <c r="G74" s="1636"/>
      <c r="H74" s="351"/>
      <c r="N74" s="1641"/>
      <c r="O74" s="1366"/>
      <c r="Q74" s="1366"/>
      <c r="R74" s="1636"/>
      <c r="S74" s="1636"/>
      <c r="T74" s="1366"/>
      <c r="U74" s="1366"/>
      <c r="V74" s="1366"/>
      <c r="W74" s="1366"/>
      <c r="X74" s="1636"/>
      <c r="Y74" s="1366"/>
      <c r="Z74" s="1366"/>
      <c r="AA74" s="544"/>
      <c r="AB74" s="1366"/>
      <c r="AC74" s="1366"/>
      <c r="AD74" s="1366"/>
      <c r="AE74" s="1366"/>
      <c r="AF74" s="1366"/>
      <c r="AG74" s="1632"/>
      <c r="AH74" s="622"/>
      <c r="AI74" s="622"/>
      <c r="AJ74" s="622"/>
      <c r="AK74" s="622"/>
      <c r="AL74" s="1641">
        <v>11</v>
      </c>
    </row>
    <row r="75" s="1641" customFormat="1" ht="11.5" customHeight="1">
      <c r="A75" s="987"/>
      <c r="B75" s="987"/>
      <c r="C75" s="987"/>
      <c r="D75" s="987"/>
      <c r="E75" s="987"/>
      <c r="F75" s="1636"/>
      <c r="G75" s="1636"/>
      <c r="H75" s="351"/>
      <c r="N75" s="1641"/>
      <c r="O75" s="1366"/>
      <c r="Q75" s="1366"/>
      <c r="R75" s="1636"/>
      <c r="S75" s="1636"/>
      <c r="T75" s="1366"/>
      <c r="U75" s="1366"/>
      <c r="V75" s="1366"/>
      <c r="W75" s="1366"/>
      <c r="X75" s="1636"/>
      <c r="Y75" s="1366"/>
      <c r="Z75" s="1366"/>
      <c r="AA75" s="544"/>
      <c r="AB75" s="1366"/>
      <c r="AC75" s="1366"/>
      <c r="AD75" s="1366"/>
      <c r="AE75" s="1366"/>
      <c r="AF75" s="1366"/>
      <c r="AG75" s="1632"/>
      <c r="AH75" s="622"/>
      <c r="AI75" s="622"/>
      <c r="AJ75" s="622"/>
      <c r="AK75" s="622"/>
      <c r="AL75" s="1641">
        <v>11</v>
      </c>
    </row>
    <row r="76" s="1641" customFormat="1" ht="11.5" customHeight="1">
      <c r="A76" s="987"/>
      <c r="B76" s="987"/>
      <c r="C76" s="987"/>
      <c r="D76" s="987"/>
      <c r="E76" s="987"/>
      <c r="F76" s="1636"/>
      <c r="G76" s="1636"/>
      <c r="H76" s="351"/>
      <c r="N76" s="1641"/>
      <c r="O76" s="1366"/>
      <c r="Q76" s="1366"/>
      <c r="R76" s="1636"/>
      <c r="S76" s="1636"/>
      <c r="T76" s="1366"/>
      <c r="U76" s="1366"/>
      <c r="V76" s="1366"/>
      <c r="W76" s="1366"/>
      <c r="X76" s="1636"/>
      <c r="Y76" s="1366"/>
      <c r="Z76" s="1366"/>
      <c r="AA76" s="544"/>
      <c r="AB76" s="1366"/>
      <c r="AC76" s="1366"/>
      <c r="AD76" s="1366"/>
      <c r="AE76" s="1366"/>
      <c r="AF76" s="1366"/>
      <c r="AG76" s="1632"/>
      <c r="AH76" s="622"/>
      <c r="AI76" s="622"/>
      <c r="AJ76" s="622"/>
      <c r="AK76" s="622"/>
      <c r="AL76" s="1641">
        <v>11</v>
      </c>
    </row>
    <row r="77" s="1641" customFormat="1" ht="11.5" customHeight="1">
      <c r="A77" s="987"/>
      <c r="B77" s="987"/>
      <c r="C77" s="987"/>
      <c r="D77" s="987"/>
      <c r="E77" s="987"/>
      <c r="F77" s="1636"/>
      <c r="G77" s="1636"/>
      <c r="H77" s="351"/>
      <c r="N77" s="1641"/>
      <c r="O77" s="1366"/>
      <c r="Q77" s="1366"/>
      <c r="R77" s="1636"/>
      <c r="S77" s="1636"/>
      <c r="T77" s="1366"/>
      <c r="U77" s="1366"/>
      <c r="V77" s="1366"/>
      <c r="W77" s="1366"/>
      <c r="X77" s="1636"/>
      <c r="Y77" s="1366"/>
      <c r="Z77" s="1366"/>
      <c r="AA77" s="544"/>
      <c r="AB77" s="1366"/>
      <c r="AC77" s="1366"/>
      <c r="AD77" s="1366"/>
      <c r="AE77" s="1366"/>
      <c r="AF77" s="1366"/>
      <c r="AG77" s="1632"/>
      <c r="AH77" s="622"/>
      <c r="AI77" s="622"/>
      <c r="AJ77" s="622"/>
      <c r="AK77" s="622"/>
      <c r="AL77" s="1641">
        <v>11</v>
      </c>
    </row>
    <row r="78" s="1641" customFormat="1" ht="11.5" customHeight="1">
      <c r="A78" s="987"/>
      <c r="B78" s="987"/>
      <c r="C78" s="987"/>
      <c r="D78" s="987"/>
      <c r="E78" s="987"/>
      <c r="F78" s="1636"/>
      <c r="G78" s="1636"/>
      <c r="H78" s="351"/>
      <c r="N78" s="1641"/>
      <c r="O78" s="1366"/>
      <c r="Q78" s="1366"/>
      <c r="R78" s="1636"/>
      <c r="S78" s="1636"/>
      <c r="T78" s="1366"/>
      <c r="U78" s="1366"/>
      <c r="V78" s="1366"/>
      <c r="W78" s="1366"/>
      <c r="X78" s="1636"/>
      <c r="Y78" s="1366"/>
      <c r="Z78" s="1366"/>
      <c r="AA78" s="544"/>
      <c r="AB78" s="1366"/>
      <c r="AC78" s="1366"/>
      <c r="AD78" s="1366"/>
      <c r="AE78" s="1366"/>
      <c r="AF78" s="1366"/>
      <c r="AG78" s="1632"/>
      <c r="AH78" s="622"/>
      <c r="AI78" s="622"/>
      <c r="AJ78" s="622"/>
      <c r="AK78" s="622"/>
      <c r="AL78" s="1641">
        <v>11</v>
      </c>
    </row>
    <row r="79" s="1641" customFormat="1" ht="11.5" customHeight="1">
      <c r="A79" s="987"/>
      <c r="B79" s="987"/>
      <c r="C79" s="987"/>
      <c r="D79" s="987"/>
      <c r="E79" s="987"/>
      <c r="F79" s="1636"/>
      <c r="G79" s="1636"/>
      <c r="H79" s="351"/>
      <c r="N79" s="1641"/>
      <c r="O79" s="1366"/>
      <c r="Q79" s="1366"/>
      <c r="R79" s="1636"/>
      <c r="S79" s="1636"/>
      <c r="T79" s="1366"/>
      <c r="U79" s="1366"/>
      <c r="V79" s="1366"/>
      <c r="W79" s="1366"/>
      <c r="X79" s="1636"/>
      <c r="Y79" s="1366"/>
      <c r="Z79" s="1366"/>
      <c r="AA79" s="544"/>
      <c r="AB79" s="1366"/>
      <c r="AC79" s="1366"/>
      <c r="AD79" s="1366"/>
      <c r="AE79" s="1366"/>
      <c r="AF79" s="1366"/>
      <c r="AG79" s="1632"/>
      <c r="AH79" s="622"/>
      <c r="AI79" s="622"/>
      <c r="AJ79" s="622"/>
      <c r="AK79" s="622"/>
      <c r="AL79" s="1641">
        <v>11</v>
      </c>
    </row>
    <row r="80" s="1641" customFormat="1" ht="11.5" customHeight="1">
      <c r="A80" s="987"/>
      <c r="B80" s="987"/>
      <c r="C80" s="987"/>
      <c r="D80" s="987"/>
      <c r="E80" s="987"/>
      <c r="F80" s="1636"/>
      <c r="G80" s="1636"/>
      <c r="H80" s="351"/>
      <c r="N80" s="1641"/>
      <c r="O80" s="1366"/>
      <c r="Q80" s="1366"/>
      <c r="R80" s="1636"/>
      <c r="S80" s="1636"/>
      <c r="T80" s="1366"/>
      <c r="U80" s="1366"/>
      <c r="V80" s="1366"/>
      <c r="W80" s="1366"/>
      <c r="X80" s="1636"/>
      <c r="Y80" s="1366"/>
      <c r="Z80" s="1366"/>
      <c r="AA80" s="544"/>
      <c r="AB80" s="1366"/>
      <c r="AC80" s="1366"/>
      <c r="AD80" s="1366"/>
      <c r="AE80" s="1366"/>
      <c r="AF80" s="1366"/>
      <c r="AG80" s="1632"/>
      <c r="AH80" s="622"/>
      <c r="AI80" s="622"/>
      <c r="AJ80" s="622"/>
      <c r="AK80" s="622"/>
      <c r="AL80" s="1641">
        <v>11</v>
      </c>
    </row>
    <row r="81" s="1641" customFormat="1" ht="11.5" customHeight="1">
      <c r="A81" s="987"/>
      <c r="B81" s="987"/>
      <c r="C81" s="987"/>
      <c r="D81" s="987"/>
      <c r="E81" s="987"/>
      <c r="F81" s="1636"/>
      <c r="G81" s="1636"/>
      <c r="H81" s="351"/>
      <c r="N81" s="1641"/>
      <c r="O81" s="1366"/>
      <c r="Q81" s="1366"/>
      <c r="R81" s="1636"/>
      <c r="S81" s="1636"/>
      <c r="T81" s="1366"/>
      <c r="U81" s="1366"/>
      <c r="V81" s="1366"/>
      <c r="W81" s="1366"/>
      <c r="X81" s="1636"/>
      <c r="Y81" s="1366"/>
      <c r="Z81" s="1366"/>
      <c r="AA81" s="544"/>
      <c r="AB81" s="1366"/>
      <c r="AC81" s="1366"/>
      <c r="AD81" s="1366"/>
      <c r="AE81" s="1366"/>
      <c r="AF81" s="1366"/>
      <c r="AG81" s="1632"/>
      <c r="AH81" s="622"/>
      <c r="AI81" s="622"/>
      <c r="AJ81" s="622"/>
      <c r="AK81" s="622"/>
      <c r="AL81" s="1641">
        <v>11</v>
      </c>
    </row>
    <row r="82" s="1641" customFormat="1" ht="11.5" customHeight="1">
      <c r="A82" s="987"/>
      <c r="B82" s="987"/>
      <c r="C82" s="987"/>
      <c r="D82" s="987"/>
      <c r="E82" s="987"/>
      <c r="F82" s="1636"/>
      <c r="G82" s="1636"/>
      <c r="H82" s="351"/>
      <c r="N82" s="1641"/>
      <c r="O82" s="1366"/>
      <c r="Q82" s="1366"/>
      <c r="R82" s="1636"/>
      <c r="S82" s="1636"/>
      <c r="T82" s="1366"/>
      <c r="U82" s="1366"/>
      <c r="V82" s="1366"/>
      <c r="W82" s="1366"/>
      <c r="X82" s="1636"/>
      <c r="Y82" s="1366"/>
      <c r="Z82" s="1366"/>
      <c r="AA82" s="544"/>
      <c r="AB82" s="1366"/>
      <c r="AC82" s="1366"/>
      <c r="AD82" s="1366"/>
      <c r="AE82" s="1366"/>
      <c r="AF82" s="1366"/>
      <c r="AG82" s="1632"/>
      <c r="AH82" s="622"/>
      <c r="AI82" s="622"/>
      <c r="AJ82" s="622"/>
      <c r="AK82" s="622"/>
      <c r="AL82" s="1641">
        <v>11</v>
      </c>
    </row>
    <row r="83" s="1641" customFormat="1" ht="11.5" customHeight="1">
      <c r="A83" s="987"/>
      <c r="B83" s="987"/>
      <c r="C83" s="987"/>
      <c r="D83" s="987"/>
      <c r="E83" s="987"/>
      <c r="F83" s="1636"/>
      <c r="G83" s="1636"/>
      <c r="H83" s="351"/>
      <c r="N83" s="1641"/>
      <c r="O83" s="1366"/>
      <c r="Q83" s="1366"/>
      <c r="R83" s="1636"/>
      <c r="S83" s="1636"/>
      <c r="T83" s="1366"/>
      <c r="U83" s="1366"/>
      <c r="V83" s="1366"/>
      <c r="W83" s="1366"/>
      <c r="X83" s="1636"/>
      <c r="Y83" s="1366"/>
      <c r="Z83" s="1366"/>
      <c r="AA83" s="544"/>
      <c r="AB83" s="1366"/>
      <c r="AC83" s="1366"/>
      <c r="AD83" s="1366"/>
      <c r="AE83" s="1366"/>
      <c r="AF83" s="1366"/>
      <c r="AG83" s="1632"/>
      <c r="AH83" s="622"/>
      <c r="AI83" s="622"/>
      <c r="AJ83" s="622"/>
      <c r="AK83" s="622"/>
      <c r="AL83" s="1641">
        <v>11</v>
      </c>
    </row>
    <row r="84" s="1641" customFormat="1" ht="11.5" customHeight="1">
      <c r="A84" s="987"/>
      <c r="B84" s="987"/>
      <c r="C84" s="987"/>
      <c r="D84" s="987"/>
      <c r="E84" s="987"/>
      <c r="F84" s="1636"/>
      <c r="G84" s="1636"/>
      <c r="H84" s="351"/>
      <c r="N84" s="1641"/>
      <c r="O84" s="1366"/>
      <c r="Q84" s="1366"/>
      <c r="R84" s="1636"/>
      <c r="S84" s="1636"/>
      <c r="T84" s="1366"/>
      <c r="U84" s="1366"/>
      <c r="V84" s="1366"/>
      <c r="W84" s="1366"/>
      <c r="X84" s="1636"/>
      <c r="Y84" s="1366"/>
      <c r="Z84" s="1366"/>
      <c r="AA84" s="544"/>
      <c r="AB84" s="1366"/>
      <c r="AC84" s="1366"/>
      <c r="AD84" s="1366"/>
      <c r="AE84" s="1366"/>
      <c r="AF84" s="1366"/>
      <c r="AG84" s="1632"/>
      <c r="AH84" s="622"/>
      <c r="AI84" s="622"/>
      <c r="AJ84" s="622"/>
      <c r="AK84" s="622"/>
      <c r="AL84" s="1641">
        <v>11</v>
      </c>
    </row>
    <row r="85" s="1641" customFormat="1" ht="11.5" customHeight="1">
      <c r="A85" s="987"/>
      <c r="B85" s="987"/>
      <c r="C85" s="987"/>
      <c r="D85" s="987"/>
      <c r="E85" s="987"/>
      <c r="F85" s="1636"/>
      <c r="G85" s="1636"/>
      <c r="H85" s="351"/>
      <c r="N85" s="1641"/>
      <c r="O85" s="1366"/>
      <c r="Q85" s="1366"/>
      <c r="R85" s="1636"/>
      <c r="S85" s="1636"/>
      <c r="T85" s="1366"/>
      <c r="U85" s="1366"/>
      <c r="V85" s="1366"/>
      <c r="W85" s="1366"/>
      <c r="X85" s="1636"/>
      <c r="Y85" s="1366"/>
      <c r="Z85" s="1366"/>
      <c r="AA85" s="544"/>
      <c r="AB85" s="1366"/>
      <c r="AC85" s="1366"/>
      <c r="AD85" s="1366"/>
      <c r="AE85" s="1366"/>
      <c r="AF85" s="1366"/>
      <c r="AG85" s="1632"/>
      <c r="AH85" s="622"/>
      <c r="AI85" s="622"/>
      <c r="AJ85" s="622"/>
      <c r="AK85" s="622"/>
      <c r="AL85" s="1641">
        <v>11</v>
      </c>
    </row>
    <row r="86" s="1641" customFormat="1" ht="11.5" customHeight="1">
      <c r="A86" s="987"/>
      <c r="B86" s="987"/>
      <c r="C86" s="987"/>
      <c r="D86" s="987"/>
      <c r="E86" s="987"/>
      <c r="F86" s="1636"/>
      <c r="G86" s="1636"/>
      <c r="H86" s="351"/>
      <c r="N86" s="1641"/>
      <c r="O86" s="1366"/>
      <c r="Q86" s="1366"/>
      <c r="R86" s="1636"/>
      <c r="S86" s="1636"/>
      <c r="T86" s="1366"/>
      <c r="U86" s="1366"/>
      <c r="V86" s="1366"/>
      <c r="W86" s="1366"/>
      <c r="X86" s="1636"/>
      <c r="Y86" s="1366"/>
      <c r="Z86" s="1366"/>
      <c r="AA86" s="544"/>
      <c r="AB86" s="1366"/>
      <c r="AC86" s="1366"/>
      <c r="AD86" s="1366"/>
      <c r="AE86" s="1366"/>
      <c r="AF86" s="1366"/>
      <c r="AG86" s="1632"/>
      <c r="AH86" s="622"/>
      <c r="AI86" s="622"/>
      <c r="AJ86" s="622"/>
      <c r="AK86" s="622"/>
      <c r="AL86" s="1641">
        <v>11</v>
      </c>
    </row>
    <row r="87" s="1641" customFormat="1" ht="11.5" customHeight="1">
      <c r="A87" s="987"/>
      <c r="B87" s="987"/>
      <c r="C87" s="987"/>
      <c r="D87" s="987"/>
      <c r="E87" s="987"/>
      <c r="F87" s="1636"/>
      <c r="G87" s="1636"/>
      <c r="H87" s="351"/>
      <c r="N87" s="1641"/>
      <c r="O87" s="1366"/>
      <c r="Q87" s="1366"/>
      <c r="R87" s="1636"/>
      <c r="S87" s="1636"/>
      <c r="T87" s="1366"/>
      <c r="U87" s="1366"/>
      <c r="V87" s="1366"/>
      <c r="W87" s="1366"/>
      <c r="X87" s="1636"/>
      <c r="Y87" s="1366"/>
      <c r="Z87" s="1366"/>
      <c r="AA87" s="544"/>
      <c r="AB87" s="1366"/>
      <c r="AC87" s="1366"/>
      <c r="AD87" s="1366"/>
      <c r="AE87" s="1366"/>
      <c r="AF87" s="1366"/>
      <c r="AG87" s="1632"/>
      <c r="AH87" s="622"/>
      <c r="AI87" s="622"/>
      <c r="AJ87" s="622"/>
      <c r="AK87" s="622"/>
      <c r="AL87" s="1641">
        <v>11</v>
      </c>
    </row>
    <row r="88" s="1641" customFormat="1" ht="11.5" customHeight="1">
      <c r="A88" s="987"/>
      <c r="B88" s="987"/>
      <c r="C88" s="987"/>
      <c r="D88" s="987"/>
      <c r="E88" s="987"/>
      <c r="F88" s="1636"/>
      <c r="G88" s="1636"/>
      <c r="H88" s="351"/>
      <c r="N88" s="1641"/>
      <c r="O88" s="1366"/>
      <c r="Q88" s="1366"/>
      <c r="R88" s="1636"/>
      <c r="S88" s="1636"/>
      <c r="T88" s="1366"/>
      <c r="U88" s="1366"/>
      <c r="V88" s="1366"/>
      <c r="W88" s="1366"/>
      <c r="X88" s="1636"/>
      <c r="Y88" s="1366"/>
      <c r="Z88" s="1366"/>
      <c r="AA88" s="544"/>
      <c r="AB88" s="1366"/>
      <c r="AC88" s="1366"/>
      <c r="AD88" s="1366"/>
      <c r="AE88" s="1366"/>
      <c r="AF88" s="1366"/>
      <c r="AG88" s="1632"/>
      <c r="AH88" s="622"/>
      <c r="AI88" s="622"/>
      <c r="AJ88" s="622"/>
      <c r="AK88" s="622"/>
      <c r="AL88" s="1641">
        <v>11</v>
      </c>
    </row>
    <row r="89" s="1641" customFormat="1" ht="11.5" customHeight="1">
      <c r="A89" s="987"/>
      <c r="B89" s="987"/>
      <c r="C89" s="987"/>
      <c r="D89" s="987"/>
      <c r="E89" s="987"/>
      <c r="F89" s="1636"/>
      <c r="G89" s="1636"/>
      <c r="H89" s="351"/>
      <c r="N89" s="1641"/>
      <c r="O89" s="1366"/>
      <c r="Q89" s="1366"/>
      <c r="R89" s="1636"/>
      <c r="S89" s="1636"/>
      <c r="T89" s="1366"/>
      <c r="U89" s="1366"/>
      <c r="V89" s="1366"/>
      <c r="W89" s="1366"/>
      <c r="X89" s="1636"/>
      <c r="Y89" s="1366"/>
      <c r="Z89" s="1366"/>
      <c r="AA89" s="544"/>
      <c r="AB89" s="1366"/>
      <c r="AC89" s="1366"/>
      <c r="AD89" s="1366"/>
      <c r="AE89" s="1366"/>
      <c r="AF89" s="1366"/>
      <c r="AG89" s="1632"/>
      <c r="AH89" s="622"/>
      <c r="AI89" s="622"/>
      <c r="AJ89" s="622"/>
      <c r="AK89" s="622"/>
      <c r="AL89" s="1641">
        <v>11</v>
      </c>
    </row>
    <row r="90" s="1641" customFormat="1" ht="11.5" customHeight="1">
      <c r="A90" s="987"/>
      <c r="B90" s="987"/>
      <c r="C90" s="987"/>
      <c r="D90" s="987"/>
      <c r="E90" s="987"/>
      <c r="F90" s="1636"/>
      <c r="G90" s="1636"/>
      <c r="H90" s="351"/>
      <c r="N90" s="1641"/>
      <c r="O90" s="1366"/>
      <c r="Q90" s="1366"/>
      <c r="R90" s="1636"/>
      <c r="S90" s="1636"/>
      <c r="T90" s="1366"/>
      <c r="U90" s="1366"/>
      <c r="V90" s="1366"/>
      <c r="W90" s="1366"/>
      <c r="X90" s="1636"/>
      <c r="Y90" s="1366"/>
      <c r="Z90" s="1366"/>
      <c r="AA90" s="544"/>
      <c r="AB90" s="1366"/>
      <c r="AC90" s="1366"/>
      <c r="AD90" s="1366"/>
      <c r="AE90" s="1366"/>
      <c r="AF90" s="1366"/>
      <c r="AG90" s="1632"/>
      <c r="AH90" s="622"/>
      <c r="AI90" s="622"/>
      <c r="AJ90" s="622"/>
      <c r="AK90" s="622"/>
      <c r="AL90" s="1641">
        <v>11</v>
      </c>
    </row>
    <row r="91" s="1641" customFormat="1" ht="11.5" customHeight="1">
      <c r="A91" s="987"/>
      <c r="B91" s="987"/>
      <c r="C91" s="987"/>
      <c r="D91" s="987"/>
      <c r="E91" s="987"/>
      <c r="F91" s="1636"/>
      <c r="G91" s="1636"/>
      <c r="H91" s="351"/>
      <c r="N91" s="1641"/>
      <c r="O91" s="1366"/>
      <c r="Q91" s="1366"/>
      <c r="R91" s="1636"/>
      <c r="S91" s="1636"/>
      <c r="T91" s="1366"/>
      <c r="U91" s="1366"/>
      <c r="V91" s="1366"/>
      <c r="W91" s="1366"/>
      <c r="X91" s="1636"/>
      <c r="Y91" s="1366"/>
      <c r="Z91" s="1366"/>
      <c r="AA91" s="544"/>
      <c r="AB91" s="1366"/>
      <c r="AC91" s="1366"/>
      <c r="AD91" s="1366"/>
      <c r="AE91" s="1366"/>
      <c r="AF91" s="1366"/>
      <c r="AG91" s="1632"/>
      <c r="AH91" s="622"/>
      <c r="AI91" s="622"/>
      <c r="AJ91" s="622"/>
      <c r="AK91" s="622"/>
      <c r="AL91" s="1641">
        <v>11</v>
      </c>
    </row>
    <row r="92" s="1641" customFormat="1" ht="11.5" customHeight="1">
      <c r="A92" s="987"/>
      <c r="B92" s="987"/>
      <c r="C92" s="987"/>
      <c r="D92" s="987"/>
      <c r="E92" s="987"/>
      <c r="F92" s="1636"/>
      <c r="G92" s="1636"/>
      <c r="H92" s="351"/>
      <c r="N92" s="1641"/>
      <c r="O92" s="1366"/>
      <c r="Q92" s="1366"/>
      <c r="R92" s="1636"/>
      <c r="S92" s="1636"/>
      <c r="T92" s="1366"/>
      <c r="U92" s="1366"/>
      <c r="V92" s="1366"/>
      <c r="W92" s="1366"/>
      <c r="X92" s="1636"/>
      <c r="Y92" s="1366"/>
      <c r="Z92" s="1366"/>
      <c r="AA92" s="544"/>
      <c r="AB92" s="1366"/>
      <c r="AC92" s="1366"/>
      <c r="AD92" s="1366"/>
      <c r="AE92" s="1366"/>
      <c r="AF92" s="1366"/>
      <c r="AG92" s="1632"/>
      <c r="AH92" s="622"/>
      <c r="AI92" s="622"/>
      <c r="AJ92" s="622"/>
      <c r="AK92" s="622"/>
      <c r="AL92" s="1641">
        <v>11</v>
      </c>
    </row>
    <row r="93" s="1641" customFormat="1" ht="11.5" customHeight="1">
      <c r="A93" s="987"/>
      <c r="B93" s="987"/>
      <c r="C93" s="987"/>
      <c r="D93" s="987"/>
      <c r="E93" s="987"/>
      <c r="F93" s="1636"/>
      <c r="G93" s="1636"/>
      <c r="H93" s="351"/>
      <c r="N93" s="1641"/>
      <c r="O93" s="1366"/>
      <c r="Q93" s="1366"/>
      <c r="R93" s="1636"/>
      <c r="S93" s="1636"/>
      <c r="T93" s="1366"/>
      <c r="U93" s="1366"/>
      <c r="V93" s="1366"/>
      <c r="W93" s="1366"/>
      <c r="X93" s="1636"/>
      <c r="Y93" s="1366"/>
      <c r="Z93" s="1366"/>
      <c r="AA93" s="544"/>
      <c r="AB93" s="1366"/>
      <c r="AC93" s="1366"/>
      <c r="AD93" s="1366"/>
      <c r="AE93" s="1366"/>
      <c r="AF93" s="1366"/>
      <c r="AG93" s="1632"/>
      <c r="AH93" s="622"/>
      <c r="AI93" s="622"/>
      <c r="AJ93" s="622"/>
      <c r="AK93" s="622"/>
      <c r="AL93" s="1641">
        <v>11</v>
      </c>
    </row>
    <row r="94" s="1641" customFormat="1" ht="11.5" customHeight="1">
      <c r="A94" s="987"/>
      <c r="B94" s="987"/>
      <c r="C94" s="987"/>
      <c r="D94" s="987"/>
      <c r="E94" s="987"/>
      <c r="F94" s="1636"/>
      <c r="G94" s="1636"/>
      <c r="H94" s="351"/>
      <c r="N94" s="1641"/>
      <c r="O94" s="1366"/>
      <c r="Q94" s="1366"/>
      <c r="R94" s="1636"/>
      <c r="S94" s="1636"/>
      <c r="T94" s="1366"/>
      <c r="U94" s="1366"/>
      <c r="V94" s="1366"/>
      <c r="W94" s="1366"/>
      <c r="X94" s="1636"/>
      <c r="Y94" s="1366"/>
      <c r="Z94" s="1366"/>
      <c r="AA94" s="544"/>
      <c r="AB94" s="1366"/>
      <c r="AC94" s="1366"/>
      <c r="AD94" s="1366"/>
      <c r="AE94" s="1366"/>
      <c r="AF94" s="1366"/>
      <c r="AG94" s="1632"/>
      <c r="AH94" s="622"/>
      <c r="AI94" s="622"/>
      <c r="AJ94" s="622"/>
      <c r="AK94" s="622"/>
      <c r="AL94" s="1641">
        <v>11</v>
      </c>
    </row>
    <row r="95" s="1641" customFormat="1" ht="11.5" customHeight="1">
      <c r="A95" s="987"/>
      <c r="B95" s="987"/>
      <c r="C95" s="987"/>
      <c r="D95" s="987"/>
      <c r="E95" s="987"/>
      <c r="F95" s="1636"/>
      <c r="G95" s="1636"/>
      <c r="H95" s="351"/>
      <c r="N95" s="1641"/>
      <c r="O95" s="1366"/>
      <c r="Q95" s="1366"/>
      <c r="R95" s="1636"/>
      <c r="S95" s="1636"/>
      <c r="T95" s="1366"/>
      <c r="U95" s="1366"/>
      <c r="V95" s="1366"/>
      <c r="W95" s="1366"/>
      <c r="X95" s="1636"/>
      <c r="Y95" s="1366"/>
      <c r="Z95" s="1366"/>
      <c r="AA95" s="544"/>
      <c r="AB95" s="1366"/>
      <c r="AC95" s="1366"/>
      <c r="AD95" s="1366"/>
      <c r="AE95" s="1366"/>
      <c r="AF95" s="1366"/>
      <c r="AG95" s="1632"/>
      <c r="AH95" s="622"/>
      <c r="AI95" s="622"/>
      <c r="AJ95" s="622"/>
      <c r="AK95" s="622"/>
      <c r="AL95" s="1641">
        <v>11</v>
      </c>
    </row>
    <row r="96" s="1641" customFormat="1" ht="11.5" customHeight="1">
      <c r="A96" s="987"/>
      <c r="B96" s="987"/>
      <c r="C96" s="987"/>
      <c r="D96" s="987"/>
      <c r="E96" s="987"/>
      <c r="F96" s="1636"/>
      <c r="G96" s="1636"/>
      <c r="H96" s="351"/>
      <c r="N96" s="1641"/>
      <c r="O96" s="1366"/>
      <c r="Q96" s="1366"/>
      <c r="R96" s="1636"/>
      <c r="S96" s="1636"/>
      <c r="T96" s="1366"/>
      <c r="U96" s="1366"/>
      <c r="V96" s="1366"/>
      <c r="W96" s="1366"/>
      <c r="X96" s="1636"/>
      <c r="Y96" s="1366"/>
      <c r="Z96" s="1366"/>
      <c r="AA96" s="544"/>
      <c r="AB96" s="1366"/>
      <c r="AC96" s="1366"/>
      <c r="AD96" s="1366"/>
      <c r="AE96" s="1366"/>
      <c r="AF96" s="1366"/>
      <c r="AG96" s="1632"/>
      <c r="AH96" s="622"/>
      <c r="AI96" s="622"/>
      <c r="AJ96" s="622"/>
      <c r="AK96" s="622"/>
      <c r="AL96" s="1641">
        <v>11</v>
      </c>
    </row>
    <row r="97" s="1641" customFormat="1" ht="11.5" customHeight="1">
      <c r="A97" s="987"/>
      <c r="B97" s="987"/>
      <c r="C97" s="987"/>
      <c r="D97" s="987"/>
      <c r="E97" s="987"/>
      <c r="F97" s="1636"/>
      <c r="G97" s="1636"/>
      <c r="H97" s="351"/>
      <c r="N97" s="1641"/>
      <c r="O97" s="1366"/>
      <c r="Q97" s="1366"/>
      <c r="R97" s="1636"/>
      <c r="S97" s="1636"/>
      <c r="T97" s="1366"/>
      <c r="U97" s="1366"/>
      <c r="V97" s="1366"/>
      <c r="W97" s="1366"/>
      <c r="X97" s="1636"/>
      <c r="Y97" s="1366"/>
      <c r="Z97" s="1366"/>
      <c r="AA97" s="544"/>
      <c r="AB97" s="1366"/>
      <c r="AC97" s="1366"/>
      <c r="AD97" s="1366"/>
      <c r="AE97" s="1366"/>
      <c r="AF97" s="1366"/>
      <c r="AG97" s="1632"/>
      <c r="AH97" s="622"/>
      <c r="AI97" s="622"/>
      <c r="AJ97" s="622"/>
      <c r="AK97" s="622"/>
      <c r="AL97" s="1641">
        <v>11</v>
      </c>
    </row>
    <row r="98" s="1641" customFormat="1" ht="11.5" customHeight="1">
      <c r="A98" s="987"/>
      <c r="B98" s="987"/>
      <c r="C98" s="987"/>
      <c r="D98" s="987"/>
      <c r="E98" s="987"/>
      <c r="F98" s="1636"/>
      <c r="G98" s="1636"/>
      <c r="H98" s="351"/>
      <c r="N98" s="1641"/>
      <c r="O98" s="1366"/>
      <c r="Q98" s="1366"/>
      <c r="R98" s="1636"/>
      <c r="S98" s="1636"/>
      <c r="T98" s="1366"/>
      <c r="U98" s="1366"/>
      <c r="V98" s="1366"/>
      <c r="W98" s="1366"/>
      <c r="X98" s="1636"/>
      <c r="Y98" s="1366"/>
      <c r="Z98" s="1366"/>
      <c r="AA98" s="544"/>
      <c r="AB98" s="1366"/>
      <c r="AC98" s="1366"/>
      <c r="AD98" s="1366"/>
      <c r="AE98" s="1366"/>
      <c r="AF98" s="1366"/>
      <c r="AG98" s="1632"/>
      <c r="AH98" s="622"/>
      <c r="AI98" s="622"/>
      <c r="AJ98" s="622"/>
      <c r="AK98" s="622"/>
      <c r="AL98" s="1641">
        <v>11</v>
      </c>
    </row>
    <row r="99" s="1641" customFormat="1" ht="11.5" customHeight="1">
      <c r="A99" s="987"/>
      <c r="B99" s="987"/>
      <c r="C99" s="987"/>
      <c r="D99" s="987"/>
      <c r="E99" s="987"/>
      <c r="F99" s="1636"/>
      <c r="G99" s="1636"/>
      <c r="H99" s="351"/>
      <c r="N99" s="1641"/>
      <c r="O99" s="1366"/>
      <c r="Q99" s="1366"/>
      <c r="R99" s="1636"/>
      <c r="S99" s="1636"/>
      <c r="T99" s="1366"/>
      <c r="U99" s="1366"/>
      <c r="V99" s="1366"/>
      <c r="W99" s="1366"/>
      <c r="X99" s="1636"/>
      <c r="Y99" s="1366"/>
      <c r="Z99" s="1366"/>
      <c r="AA99" s="544"/>
      <c r="AB99" s="1366"/>
      <c r="AC99" s="1366"/>
      <c r="AD99" s="1366"/>
      <c r="AE99" s="1366"/>
      <c r="AF99" s="1366"/>
      <c r="AG99" s="1632"/>
      <c r="AH99" s="622"/>
      <c r="AI99" s="622"/>
      <c r="AJ99" s="622"/>
      <c r="AK99" s="622"/>
      <c r="AL99" s="1641">
        <v>11</v>
      </c>
    </row>
    <row r="100" s="1641" customFormat="1" ht="11.5" customHeight="1">
      <c r="A100" s="987"/>
      <c r="B100" s="987"/>
      <c r="C100" s="987"/>
      <c r="D100" s="987"/>
      <c r="E100" s="987"/>
      <c r="F100" s="1636"/>
      <c r="G100" s="1636"/>
      <c r="H100" s="351"/>
      <c r="N100" s="1641"/>
      <c r="O100" s="1366"/>
      <c r="Q100" s="1366"/>
      <c r="R100" s="1636"/>
      <c r="S100" s="1636"/>
      <c r="T100" s="1366"/>
      <c r="U100" s="1366"/>
      <c r="V100" s="1366"/>
      <c r="W100" s="1366"/>
      <c r="X100" s="1636"/>
      <c r="Y100" s="1366"/>
      <c r="Z100" s="1366"/>
      <c r="AA100" s="544"/>
      <c r="AB100" s="1366"/>
      <c r="AC100" s="1366"/>
      <c r="AD100" s="1366"/>
      <c r="AE100" s="1366"/>
      <c r="AF100" s="1366"/>
      <c r="AG100" s="1632"/>
      <c r="AH100" s="622"/>
      <c r="AI100" s="622"/>
      <c r="AJ100" s="622"/>
      <c r="AK100" s="622"/>
      <c r="AL100" s="1641">
        <v>11</v>
      </c>
    </row>
    <row r="101" s="1641" customFormat="1" ht="11.5" customHeight="1">
      <c r="A101" s="987"/>
      <c r="B101" s="987"/>
      <c r="C101" s="987"/>
      <c r="D101" s="987"/>
      <c r="E101" s="987"/>
      <c r="F101" s="1636"/>
      <c r="G101" s="1636"/>
      <c r="H101" s="351"/>
      <c r="N101" s="1641"/>
      <c r="O101" s="1366"/>
      <c r="Q101" s="1366"/>
      <c r="R101" s="1636"/>
      <c r="S101" s="1636"/>
      <c r="T101" s="1366"/>
      <c r="U101" s="1366"/>
      <c r="V101" s="1366"/>
      <c r="W101" s="1366"/>
      <c r="X101" s="1636"/>
      <c r="Y101" s="1366"/>
      <c r="Z101" s="1366"/>
      <c r="AA101" s="544"/>
      <c r="AB101" s="1366"/>
      <c r="AC101" s="1366"/>
      <c r="AD101" s="1366"/>
      <c r="AE101" s="1366"/>
      <c r="AF101" s="1366"/>
      <c r="AG101" s="1632"/>
      <c r="AH101" s="622"/>
      <c r="AI101" s="622"/>
      <c r="AJ101" s="622"/>
      <c r="AK101" s="622"/>
      <c r="AL101" s="1641">
        <v>11</v>
      </c>
    </row>
    <row r="102" s="1641" customFormat="1" ht="11.5" customHeight="1">
      <c r="A102" s="987"/>
      <c r="B102" s="987"/>
      <c r="C102" s="987"/>
      <c r="D102" s="987"/>
      <c r="E102" s="987"/>
      <c r="F102" s="1636"/>
      <c r="G102" s="1636"/>
      <c r="H102" s="351"/>
      <c r="N102" s="1641"/>
      <c r="O102" s="1366"/>
      <c r="Q102" s="1366"/>
      <c r="R102" s="1636"/>
      <c r="S102" s="1636"/>
      <c r="T102" s="1366"/>
      <c r="U102" s="1366"/>
      <c r="V102" s="1366"/>
      <c r="W102" s="1366"/>
      <c r="X102" s="1636"/>
      <c r="Y102" s="1366"/>
      <c r="Z102" s="1366"/>
      <c r="AA102" s="544"/>
      <c r="AB102" s="1366"/>
      <c r="AC102" s="1366"/>
      <c r="AD102" s="1366"/>
      <c r="AE102" s="1366"/>
      <c r="AF102" s="1366"/>
      <c r="AG102" s="1632"/>
      <c r="AH102" s="622"/>
      <c r="AI102" s="622"/>
      <c r="AJ102" s="622"/>
      <c r="AK102" s="622"/>
      <c r="AL102" s="1641">
        <v>11</v>
      </c>
    </row>
    <row r="103" s="1641" customFormat="1" ht="11.5" customHeight="1">
      <c r="A103" s="987"/>
      <c r="B103" s="987"/>
      <c r="C103" s="987"/>
      <c r="D103" s="987"/>
      <c r="E103" s="987"/>
      <c r="F103" s="1636"/>
      <c r="G103" s="1636"/>
      <c r="H103" s="351"/>
      <c r="N103" s="1641"/>
      <c r="O103" s="1366"/>
      <c r="Q103" s="1366"/>
      <c r="R103" s="1636"/>
      <c r="S103" s="1636"/>
      <c r="T103" s="1366"/>
      <c r="U103" s="1366"/>
      <c r="V103" s="1366"/>
      <c r="W103" s="1366"/>
      <c r="X103" s="1636"/>
      <c r="Y103" s="1366"/>
      <c r="Z103" s="1366"/>
      <c r="AA103" s="544"/>
      <c r="AB103" s="1366"/>
      <c r="AC103" s="1366"/>
      <c r="AD103" s="1366"/>
      <c r="AE103" s="1366"/>
      <c r="AF103" s="1366"/>
      <c r="AG103" s="1632"/>
      <c r="AH103" s="622"/>
      <c r="AI103" s="622"/>
      <c r="AJ103" s="622"/>
      <c r="AK103" s="622"/>
      <c r="AL103" s="1641">
        <v>11</v>
      </c>
    </row>
    <row r="104" s="1641" customFormat="1" ht="11.5" customHeight="1">
      <c r="A104" s="987"/>
      <c r="B104" s="987"/>
      <c r="C104" s="987"/>
      <c r="D104" s="987"/>
      <c r="E104" s="987"/>
      <c r="F104" s="1636"/>
      <c r="G104" s="1636"/>
      <c r="H104" s="351"/>
      <c r="N104" s="1641"/>
      <c r="O104" s="1366"/>
      <c r="Q104" s="1366"/>
      <c r="R104" s="1636"/>
      <c r="S104" s="1636"/>
      <c r="T104" s="1366"/>
      <c r="U104" s="1366"/>
      <c r="V104" s="1366"/>
      <c r="W104" s="1366"/>
      <c r="X104" s="1636"/>
      <c r="Y104" s="1366"/>
      <c r="Z104" s="1366"/>
      <c r="AA104" s="544"/>
      <c r="AB104" s="1366"/>
      <c r="AC104" s="1366"/>
      <c r="AD104" s="1366"/>
      <c r="AE104" s="1366"/>
      <c r="AF104" s="1366"/>
      <c r="AG104" s="1632"/>
      <c r="AH104" s="622"/>
      <c r="AI104" s="622"/>
      <c r="AJ104" s="622"/>
      <c r="AK104" s="622"/>
      <c r="AL104" s="1641">
        <v>11</v>
      </c>
    </row>
    <row r="105" s="1641" customFormat="1" ht="11.5" customHeight="1">
      <c r="A105" s="987"/>
      <c r="B105" s="987"/>
      <c r="C105" s="987"/>
      <c r="D105" s="987"/>
      <c r="E105" s="987"/>
      <c r="F105" s="1636"/>
      <c r="G105" s="1636"/>
      <c r="H105" s="351"/>
      <c r="N105" s="1641"/>
      <c r="O105" s="1366"/>
      <c r="Q105" s="1366"/>
      <c r="R105" s="1636"/>
      <c r="S105" s="1636"/>
      <c r="T105" s="1366"/>
      <c r="U105" s="1366"/>
      <c r="V105" s="1366"/>
      <c r="W105" s="1366"/>
      <c r="X105" s="1636"/>
      <c r="Y105" s="1366"/>
      <c r="Z105" s="1366"/>
      <c r="AA105" s="544"/>
      <c r="AB105" s="1366"/>
      <c r="AC105" s="1366"/>
      <c r="AD105" s="1366"/>
      <c r="AE105" s="1366"/>
      <c r="AF105" s="1366"/>
      <c r="AG105" s="1632"/>
      <c r="AH105" s="622"/>
      <c r="AI105" s="622"/>
      <c r="AJ105" s="622"/>
      <c r="AK105" s="622"/>
      <c r="AL105" s="1641">
        <v>11</v>
      </c>
    </row>
    <row r="106" s="1641" customFormat="1" ht="11.5" customHeight="1">
      <c r="A106" s="987"/>
      <c r="B106" s="987"/>
      <c r="C106" s="987"/>
      <c r="D106" s="987"/>
      <c r="E106" s="987"/>
      <c r="F106" s="1636"/>
      <c r="G106" s="1636"/>
      <c r="H106" s="351"/>
      <c r="N106" s="1641"/>
      <c r="O106" s="1366"/>
      <c r="Q106" s="1366"/>
      <c r="R106" s="1636"/>
      <c r="S106" s="1636"/>
      <c r="T106" s="1366"/>
      <c r="U106" s="1366"/>
      <c r="V106" s="1366"/>
      <c r="W106" s="1366"/>
      <c r="X106" s="1636"/>
      <c r="Y106" s="1366"/>
      <c r="Z106" s="1366"/>
      <c r="AA106" s="544"/>
      <c r="AB106" s="1366"/>
      <c r="AC106" s="1366"/>
      <c r="AD106" s="1366"/>
      <c r="AE106" s="1366"/>
      <c r="AF106" s="1366"/>
      <c r="AG106" s="1632"/>
      <c r="AH106" s="622"/>
      <c r="AI106" s="622"/>
      <c r="AJ106" s="622"/>
      <c r="AK106" s="622"/>
      <c r="AL106" s="1641">
        <v>11</v>
      </c>
    </row>
    <row r="107" s="1641" customFormat="1" ht="11.5" customHeight="1">
      <c r="A107" s="987"/>
      <c r="B107" s="987"/>
      <c r="C107" s="987"/>
      <c r="D107" s="987"/>
      <c r="E107" s="987"/>
      <c r="F107" s="1636"/>
      <c r="G107" s="1636"/>
      <c r="H107" s="351"/>
      <c r="N107" s="1641"/>
      <c r="O107" s="1366"/>
      <c r="Q107" s="1366"/>
      <c r="R107" s="1636"/>
      <c r="S107" s="1636"/>
      <c r="T107" s="1366"/>
      <c r="U107" s="1366"/>
      <c r="V107" s="1366"/>
      <c r="W107" s="1366"/>
      <c r="X107" s="1636"/>
      <c r="Y107" s="1366"/>
      <c r="Z107" s="1366"/>
      <c r="AA107" s="544"/>
      <c r="AB107" s="1366"/>
      <c r="AC107" s="1366"/>
      <c r="AD107" s="1366"/>
      <c r="AE107" s="1366"/>
      <c r="AF107" s="1366"/>
      <c r="AG107" s="1632"/>
      <c r="AH107" s="622"/>
      <c r="AI107" s="622"/>
      <c r="AJ107" s="622"/>
      <c r="AK107" s="622"/>
      <c r="AL107" s="1641">
        <v>11</v>
      </c>
    </row>
    <row r="108" s="1641" customFormat="1" ht="11.5" customHeight="1">
      <c r="A108" s="987"/>
      <c r="B108" s="987"/>
      <c r="C108" s="987"/>
      <c r="D108" s="987"/>
      <c r="E108" s="987"/>
      <c r="F108" s="1636"/>
      <c r="G108" s="1636"/>
      <c r="H108" s="351"/>
      <c r="N108" s="1641"/>
      <c r="O108" s="1366"/>
      <c r="Q108" s="1366"/>
      <c r="R108" s="1636"/>
      <c r="S108" s="1636"/>
      <c r="T108" s="1366"/>
      <c r="U108" s="1366"/>
      <c r="V108" s="1366"/>
      <c r="W108" s="1366"/>
      <c r="X108" s="1636"/>
      <c r="Y108" s="1366"/>
      <c r="Z108" s="1366"/>
      <c r="AA108" s="544"/>
      <c r="AB108" s="1366"/>
      <c r="AC108" s="1366"/>
      <c r="AD108" s="1366"/>
      <c r="AE108" s="1366"/>
      <c r="AF108" s="1366"/>
      <c r="AG108" s="1632"/>
      <c r="AH108" s="622"/>
      <c r="AI108" s="622"/>
      <c r="AJ108" s="622"/>
      <c r="AK108" s="622"/>
      <c r="AL108" s="1641">
        <v>11</v>
      </c>
    </row>
    <row r="109" s="1641" customFormat="1" ht="11.5" customHeight="1">
      <c r="A109" s="987"/>
      <c r="B109" s="987"/>
      <c r="C109" s="987"/>
      <c r="D109" s="987"/>
      <c r="E109" s="987"/>
      <c r="F109" s="1636"/>
      <c r="G109" s="1636"/>
      <c r="H109" s="351"/>
      <c r="N109" s="1641"/>
      <c r="O109" s="1366"/>
      <c r="Q109" s="1366"/>
      <c r="R109" s="1636"/>
      <c r="S109" s="1636"/>
      <c r="T109" s="1366"/>
      <c r="U109" s="1366"/>
      <c r="V109" s="1366"/>
      <c r="W109" s="1366"/>
      <c r="X109" s="1636"/>
      <c r="Y109" s="1366"/>
      <c r="Z109" s="1366"/>
      <c r="AA109" s="544"/>
      <c r="AB109" s="1366"/>
      <c r="AC109" s="1366"/>
      <c r="AD109" s="1366"/>
      <c r="AE109" s="1366"/>
      <c r="AF109" s="1366"/>
      <c r="AG109" s="1632"/>
      <c r="AH109" s="622"/>
      <c r="AI109" s="622"/>
      <c r="AJ109" s="622"/>
      <c r="AK109" s="622"/>
      <c r="AL109" s="1641">
        <v>11</v>
      </c>
    </row>
    <row r="110" s="1641" customFormat="1" ht="11.5" customHeight="1">
      <c r="A110" s="987"/>
      <c r="B110" s="987"/>
      <c r="C110" s="987"/>
      <c r="D110" s="987"/>
      <c r="E110" s="987"/>
      <c r="F110" s="1636"/>
      <c r="G110" s="1636"/>
      <c r="H110" s="351"/>
      <c r="N110" s="1641"/>
      <c r="O110" s="1366"/>
      <c r="Q110" s="1366"/>
      <c r="R110" s="1636"/>
      <c r="S110" s="1636"/>
      <c r="T110" s="1366"/>
      <c r="U110" s="1366"/>
      <c r="V110" s="1366"/>
      <c r="W110" s="1366"/>
      <c r="X110" s="1636"/>
      <c r="Y110" s="1366"/>
      <c r="Z110" s="1366"/>
      <c r="AA110" s="544"/>
      <c r="AB110" s="1366"/>
      <c r="AC110" s="1366"/>
      <c r="AD110" s="1366"/>
      <c r="AE110" s="1366"/>
      <c r="AF110" s="1366"/>
      <c r="AG110" s="1632"/>
      <c r="AH110" s="622"/>
      <c r="AI110" s="622"/>
      <c r="AJ110" s="622"/>
      <c r="AK110" s="622"/>
      <c r="AL110" s="1641">
        <v>11</v>
      </c>
    </row>
    <row r="111" s="1641" customFormat="1" ht="11.5" customHeight="1">
      <c r="A111" s="987"/>
      <c r="B111" s="987"/>
      <c r="C111" s="987"/>
      <c r="D111" s="987"/>
      <c r="E111" s="987"/>
      <c r="F111" s="1636"/>
      <c r="G111" s="1636"/>
      <c r="H111" s="351"/>
      <c r="N111" s="1641"/>
      <c r="O111" s="1366"/>
      <c r="Q111" s="1366"/>
      <c r="R111" s="1636"/>
      <c r="S111" s="1636"/>
      <c r="T111" s="1366"/>
      <c r="U111" s="1366"/>
      <c r="V111" s="1366"/>
      <c r="W111" s="1366"/>
      <c r="X111" s="1636"/>
      <c r="Y111" s="1366"/>
      <c r="Z111" s="1366"/>
      <c r="AA111" s="544"/>
      <c r="AB111" s="1366"/>
      <c r="AC111" s="1366"/>
      <c r="AD111" s="1366"/>
      <c r="AE111" s="1366"/>
      <c r="AF111" s="1366"/>
      <c r="AG111" s="1632"/>
      <c r="AH111" s="622"/>
      <c r="AI111" s="622"/>
      <c r="AJ111" s="622"/>
      <c r="AK111" s="622"/>
      <c r="AL111" s="1641">
        <v>11</v>
      </c>
    </row>
    <row r="112" s="1641" customFormat="1" ht="11.5" customHeight="1">
      <c r="A112" s="987"/>
      <c r="B112" s="987"/>
      <c r="C112" s="987"/>
      <c r="D112" s="987"/>
      <c r="E112" s="987"/>
      <c r="F112" s="1636"/>
      <c r="G112" s="1636"/>
      <c r="H112" s="351"/>
      <c r="N112" s="1641"/>
      <c r="O112" s="1366"/>
      <c r="Q112" s="1366"/>
      <c r="R112" s="1636"/>
      <c r="S112" s="1636"/>
      <c r="T112" s="1366"/>
      <c r="U112" s="1366"/>
      <c r="V112" s="1366"/>
      <c r="W112" s="1366"/>
      <c r="X112" s="1636"/>
      <c r="Y112" s="1366"/>
      <c r="Z112" s="1366"/>
      <c r="AA112" s="544"/>
      <c r="AB112" s="1366"/>
      <c r="AC112" s="1366"/>
      <c r="AD112" s="1366"/>
      <c r="AE112" s="1366"/>
      <c r="AF112" s="1366"/>
      <c r="AG112" s="1632"/>
      <c r="AH112" s="622"/>
      <c r="AI112" s="622"/>
      <c r="AJ112" s="622"/>
      <c r="AK112" s="622"/>
      <c r="AL112" s="1641">
        <v>11</v>
      </c>
    </row>
    <row r="113" s="1641" customFormat="1" ht="11.5" customHeight="1">
      <c r="A113" s="987"/>
      <c r="B113" s="987"/>
      <c r="C113" s="987"/>
      <c r="D113" s="987"/>
      <c r="E113" s="987"/>
      <c r="F113" s="1636"/>
      <c r="G113" s="1636"/>
      <c r="H113" s="351"/>
      <c r="N113" s="1641"/>
      <c r="O113" s="1366"/>
      <c r="Q113" s="1366"/>
      <c r="R113" s="1636"/>
      <c r="S113" s="1636"/>
      <c r="T113" s="1366"/>
      <c r="U113" s="1366"/>
      <c r="V113" s="1366"/>
      <c r="W113" s="1366"/>
      <c r="X113" s="1636"/>
      <c r="Y113" s="1366"/>
      <c r="Z113" s="1366"/>
      <c r="AA113" s="544"/>
      <c r="AB113" s="1366"/>
      <c r="AC113" s="1366"/>
      <c r="AD113" s="1366"/>
      <c r="AE113" s="1366"/>
      <c r="AF113" s="1366"/>
      <c r="AG113" s="1632"/>
      <c r="AH113" s="622"/>
      <c r="AI113" s="622"/>
      <c r="AJ113" s="622"/>
      <c r="AK113" s="622"/>
      <c r="AL113" s="1641">
        <v>11</v>
      </c>
    </row>
    <row r="114" s="1641" customFormat="1" ht="11.5" customHeight="1">
      <c r="A114" s="987"/>
      <c r="B114" s="987"/>
      <c r="C114" s="987"/>
      <c r="D114" s="987"/>
      <c r="E114" s="987"/>
      <c r="F114" s="1636"/>
      <c r="G114" s="1636"/>
      <c r="H114" s="351"/>
      <c r="N114" s="1641"/>
      <c r="O114" s="1366"/>
      <c r="Q114" s="1366"/>
      <c r="R114" s="1636"/>
      <c r="S114" s="1636"/>
      <c r="T114" s="1366"/>
      <c r="U114" s="1366"/>
      <c r="V114" s="1366"/>
      <c r="W114" s="1366"/>
      <c r="X114" s="1636"/>
      <c r="Y114" s="1366"/>
      <c r="Z114" s="1366"/>
      <c r="AA114" s="544"/>
      <c r="AB114" s="1366"/>
      <c r="AC114" s="1366"/>
      <c r="AD114" s="1366"/>
      <c r="AE114" s="1366"/>
      <c r="AF114" s="1366"/>
      <c r="AG114" s="1632"/>
      <c r="AH114" s="622"/>
      <c r="AI114" s="622"/>
      <c r="AJ114" s="622"/>
      <c r="AK114" s="622"/>
      <c r="AL114" s="1641">
        <v>11</v>
      </c>
    </row>
    <row r="115" s="1641" customFormat="1" ht="11.5" customHeight="1">
      <c r="A115" s="987"/>
      <c r="B115" s="987"/>
      <c r="C115" s="987"/>
      <c r="D115" s="987"/>
      <c r="E115" s="987"/>
      <c r="F115" s="1636"/>
      <c r="G115" s="1636"/>
      <c r="H115" s="351"/>
      <c r="N115" s="1641"/>
      <c r="O115" s="1366"/>
      <c r="Q115" s="1366"/>
      <c r="R115" s="1636"/>
      <c r="S115" s="1636"/>
      <c r="T115" s="1366"/>
      <c r="U115" s="1366"/>
      <c r="V115" s="1366"/>
      <c r="W115" s="1366"/>
      <c r="X115" s="1636"/>
      <c r="Y115" s="1366"/>
      <c r="Z115" s="1366"/>
      <c r="AA115" s="544"/>
      <c r="AB115" s="1366"/>
      <c r="AC115" s="1366"/>
      <c r="AD115" s="1366"/>
      <c r="AE115" s="1366"/>
      <c r="AF115" s="1366"/>
      <c r="AG115" s="1632"/>
      <c r="AH115" s="622"/>
      <c r="AI115" s="622"/>
      <c r="AJ115" s="622"/>
      <c r="AK115" s="622"/>
      <c r="AL115" s="1641">
        <v>11</v>
      </c>
    </row>
    <row r="116" s="1641" customFormat="1" ht="11.5" customHeight="1">
      <c r="A116" s="987"/>
      <c r="B116" s="987"/>
      <c r="C116" s="987"/>
      <c r="D116" s="987"/>
      <c r="E116" s="987"/>
      <c r="F116" s="1636"/>
      <c r="G116" s="1636"/>
      <c r="H116" s="351"/>
      <c r="N116" s="1641"/>
      <c r="O116" s="1366"/>
      <c r="Q116" s="1366"/>
      <c r="R116" s="1636"/>
      <c r="S116" s="1636"/>
      <c r="T116" s="1366"/>
      <c r="U116" s="1366"/>
      <c r="V116" s="1366"/>
      <c r="W116" s="1366"/>
      <c r="X116" s="1636"/>
      <c r="Y116" s="1366"/>
      <c r="Z116" s="1366"/>
      <c r="AA116" s="544"/>
      <c r="AB116" s="1366"/>
      <c r="AC116" s="1366"/>
      <c r="AD116" s="1366"/>
      <c r="AE116" s="1366"/>
      <c r="AF116" s="1366"/>
      <c r="AG116" s="1632"/>
      <c r="AH116" s="622"/>
      <c r="AI116" s="622"/>
      <c r="AJ116" s="622"/>
      <c r="AK116" s="622"/>
      <c r="AL116" s="1641">
        <v>11</v>
      </c>
    </row>
    <row r="117" s="1641" customFormat="1" ht="11.5" customHeight="1">
      <c r="A117" s="987"/>
      <c r="B117" s="987"/>
      <c r="C117" s="987"/>
      <c r="D117" s="987"/>
      <c r="E117" s="987"/>
      <c r="F117" s="1636"/>
      <c r="G117" s="1636"/>
      <c r="H117" s="351"/>
      <c r="N117" s="1641"/>
      <c r="O117" s="1366"/>
      <c r="Q117" s="1366"/>
      <c r="R117" s="1636"/>
      <c r="S117" s="1636"/>
      <c r="T117" s="1366"/>
      <c r="U117" s="1366"/>
      <c r="V117" s="1366"/>
      <c r="W117" s="1366"/>
      <c r="X117" s="1636"/>
      <c r="Y117" s="1366"/>
      <c r="Z117" s="1366"/>
      <c r="AA117" s="544"/>
      <c r="AB117" s="1366"/>
      <c r="AC117" s="1366"/>
      <c r="AD117" s="1366"/>
      <c r="AE117" s="1366"/>
      <c r="AF117" s="1366"/>
      <c r="AG117" s="1632"/>
      <c r="AH117" s="622"/>
      <c r="AI117" s="622"/>
      <c r="AJ117" s="622"/>
      <c r="AK117" s="622"/>
      <c r="AL117" s="1641">
        <v>11</v>
      </c>
    </row>
    <row r="118" s="1641" customFormat="1" ht="11.5" customHeight="1">
      <c r="A118" s="987"/>
      <c r="B118" s="987"/>
      <c r="C118" s="987"/>
      <c r="D118" s="987"/>
      <c r="E118" s="987"/>
      <c r="F118" s="1636"/>
      <c r="G118" s="1636"/>
      <c r="H118" s="351"/>
      <c r="N118" s="1641"/>
      <c r="O118" s="1366"/>
      <c r="Q118" s="1366"/>
      <c r="R118" s="1636"/>
      <c r="S118" s="1636"/>
      <c r="T118" s="1366"/>
      <c r="U118" s="1366"/>
      <c r="V118" s="1366"/>
      <c r="W118" s="1366"/>
      <c r="X118" s="1636"/>
      <c r="Y118" s="1366"/>
      <c r="Z118" s="1366"/>
      <c r="AA118" s="544"/>
      <c r="AB118" s="1366"/>
      <c r="AC118" s="1366"/>
      <c r="AD118" s="1366"/>
      <c r="AE118" s="1366"/>
      <c r="AF118" s="1366"/>
      <c r="AG118" s="1632"/>
      <c r="AH118" s="622"/>
      <c r="AI118" s="622"/>
      <c r="AJ118" s="622"/>
      <c r="AK118" s="622"/>
      <c r="AL118" s="1641">
        <v>11</v>
      </c>
    </row>
    <row r="119" s="1641" customFormat="1" ht="11.5" customHeight="1">
      <c r="A119" s="987"/>
      <c r="B119" s="987"/>
      <c r="C119" s="987"/>
      <c r="D119" s="987"/>
      <c r="E119" s="987"/>
      <c r="F119" s="1636"/>
      <c r="G119" s="1636"/>
      <c r="H119" s="351"/>
      <c r="N119" s="1641"/>
      <c r="O119" s="1366"/>
      <c r="Q119" s="1366"/>
      <c r="R119" s="1636"/>
      <c r="S119" s="1636"/>
      <c r="T119" s="1366"/>
      <c r="U119" s="1366"/>
      <c r="V119" s="1366"/>
      <c r="W119" s="1366"/>
      <c r="X119" s="1636"/>
      <c r="Y119" s="1366"/>
      <c r="Z119" s="1366"/>
      <c r="AA119" s="544"/>
      <c r="AB119" s="1366"/>
      <c r="AC119" s="1366"/>
      <c r="AD119" s="1366"/>
      <c r="AE119" s="1366"/>
      <c r="AF119" s="1366"/>
      <c r="AG119" s="1632"/>
      <c r="AH119" s="622"/>
      <c r="AI119" s="622"/>
      <c r="AJ119" s="622"/>
      <c r="AK119" s="622"/>
      <c r="AL119" s="1641">
        <v>11</v>
      </c>
    </row>
    <row r="120" s="1641" customFormat="1" ht="11.5" customHeight="1">
      <c r="A120" s="987"/>
      <c r="B120" s="987"/>
      <c r="C120" s="987"/>
      <c r="D120" s="987"/>
      <c r="E120" s="987"/>
      <c r="F120" s="1636"/>
      <c r="G120" s="1636"/>
      <c r="H120" s="351"/>
      <c r="N120" s="1641"/>
      <c r="O120" s="1366"/>
      <c r="Q120" s="1366"/>
      <c r="R120" s="1636"/>
      <c r="S120" s="1636"/>
      <c r="T120" s="1366"/>
      <c r="U120" s="1366"/>
      <c r="V120" s="1366"/>
      <c r="W120" s="1366"/>
      <c r="X120" s="1636"/>
      <c r="Y120" s="1366"/>
      <c r="Z120" s="1366"/>
      <c r="AA120" s="544"/>
      <c r="AB120" s="1366"/>
      <c r="AC120" s="1366"/>
      <c r="AD120" s="1366"/>
      <c r="AE120" s="1366"/>
      <c r="AF120" s="1366"/>
      <c r="AG120" s="1632"/>
      <c r="AH120" s="622"/>
      <c r="AI120" s="622"/>
      <c r="AJ120" s="622"/>
      <c r="AK120" s="622"/>
      <c r="AL120" s="1641">
        <v>11</v>
      </c>
    </row>
    <row r="121" s="1641" customFormat="1" ht="11.5" customHeight="1">
      <c r="A121" s="987"/>
      <c r="B121" s="987"/>
      <c r="C121" s="987"/>
      <c r="D121" s="987"/>
      <c r="E121" s="987"/>
      <c r="F121" s="1636"/>
      <c r="G121" s="1636"/>
      <c r="H121" s="351"/>
      <c r="N121" s="1641"/>
      <c r="O121" s="1366"/>
      <c r="Q121" s="1366"/>
      <c r="R121" s="1636"/>
      <c r="S121" s="1636"/>
      <c r="T121" s="1366"/>
      <c r="U121" s="1366"/>
      <c r="V121" s="1366"/>
      <c r="W121" s="1366"/>
      <c r="X121" s="1636"/>
      <c r="Y121" s="1366"/>
      <c r="Z121" s="1366"/>
      <c r="AA121" s="544"/>
      <c r="AB121" s="1366"/>
      <c r="AC121" s="1366"/>
      <c r="AD121" s="1366"/>
      <c r="AE121" s="1366"/>
      <c r="AF121" s="1366"/>
      <c r="AG121" s="1632"/>
      <c r="AH121" s="622"/>
      <c r="AI121" s="622"/>
      <c r="AJ121" s="622"/>
      <c r="AK121" s="622"/>
      <c r="AL121" s="1641">
        <v>11</v>
      </c>
    </row>
    <row r="122" s="1641" customFormat="1" ht="11.5" customHeight="1">
      <c r="A122" s="987"/>
      <c r="B122" s="987"/>
      <c r="C122" s="987"/>
      <c r="D122" s="987"/>
      <c r="E122" s="987"/>
      <c r="F122" s="1636"/>
      <c r="G122" s="1636"/>
      <c r="H122" s="351"/>
      <c r="N122" s="1641"/>
      <c r="O122" s="1366"/>
      <c r="Q122" s="1366"/>
      <c r="R122" s="1636"/>
      <c r="S122" s="1636"/>
      <c r="T122" s="1366"/>
      <c r="U122" s="1366"/>
      <c r="V122" s="1366"/>
      <c r="W122" s="1366"/>
      <c r="X122" s="1636"/>
      <c r="Y122" s="1366"/>
      <c r="Z122" s="1366"/>
      <c r="AA122" s="544"/>
      <c r="AB122" s="1366"/>
      <c r="AC122" s="1366"/>
      <c r="AD122" s="1366"/>
      <c r="AE122" s="1366"/>
      <c r="AF122" s="1366"/>
      <c r="AG122" s="1632"/>
      <c r="AH122" s="622"/>
      <c r="AI122" s="622"/>
      <c r="AJ122" s="622"/>
      <c r="AK122" s="622"/>
      <c r="AL122" s="1641">
        <v>11</v>
      </c>
    </row>
    <row r="123" s="1641" customFormat="1" ht="11.5" customHeight="1">
      <c r="A123" s="987"/>
      <c r="B123" s="987"/>
      <c r="C123" s="987"/>
      <c r="D123" s="987"/>
      <c r="E123" s="987"/>
      <c r="F123" s="1636"/>
      <c r="G123" s="1636"/>
      <c r="H123" s="351"/>
      <c r="N123" s="1641"/>
      <c r="O123" s="1366"/>
      <c r="Q123" s="1366"/>
      <c r="R123" s="1636"/>
      <c r="S123" s="1636"/>
      <c r="T123" s="1366"/>
      <c r="U123" s="1366"/>
      <c r="V123" s="1366"/>
      <c r="W123" s="1366"/>
      <c r="X123" s="1636"/>
      <c r="Y123" s="1366"/>
      <c r="Z123" s="1366"/>
      <c r="AA123" s="544"/>
      <c r="AB123" s="1366"/>
      <c r="AC123" s="1366"/>
      <c r="AD123" s="1366"/>
      <c r="AE123" s="1366"/>
      <c r="AF123" s="1366"/>
      <c r="AG123" s="1632"/>
      <c r="AH123" s="622"/>
      <c r="AI123" s="622"/>
      <c r="AJ123" s="622"/>
      <c r="AK123" s="622"/>
      <c r="AL123" s="1641">
        <v>11</v>
      </c>
    </row>
    <row r="124" s="1641" customFormat="1" ht="11.5" customHeight="1">
      <c r="A124" s="987"/>
      <c r="B124" s="987"/>
      <c r="C124" s="987"/>
      <c r="D124" s="987"/>
      <c r="E124" s="987"/>
      <c r="F124" s="1636"/>
      <c r="G124" s="1636"/>
      <c r="H124" s="351"/>
      <c r="N124" s="1641"/>
      <c r="O124" s="1366"/>
      <c r="Q124" s="1366"/>
      <c r="R124" s="1636"/>
      <c r="S124" s="1636"/>
      <c r="T124" s="1366"/>
      <c r="U124" s="1366"/>
      <c r="V124" s="1366"/>
      <c r="W124" s="1366"/>
      <c r="X124" s="1636"/>
      <c r="Y124" s="1366"/>
      <c r="Z124" s="1366"/>
      <c r="AA124" s="544"/>
      <c r="AB124" s="1366"/>
      <c r="AC124" s="1366"/>
      <c r="AD124" s="1366"/>
      <c r="AE124" s="1366"/>
      <c r="AF124" s="1366"/>
      <c r="AG124" s="1632"/>
      <c r="AH124" s="622"/>
      <c r="AI124" s="622"/>
      <c r="AJ124" s="622"/>
      <c r="AK124" s="622"/>
      <c r="AL124" s="1641">
        <v>11</v>
      </c>
    </row>
    <row r="125" s="1641" customFormat="1" ht="11.5" customHeight="1">
      <c r="A125" s="987"/>
      <c r="B125" s="987"/>
      <c r="C125" s="987"/>
      <c r="D125" s="987"/>
      <c r="E125" s="987"/>
      <c r="F125" s="1636"/>
      <c r="G125" s="1636"/>
      <c r="H125" s="351"/>
      <c r="N125" s="1641"/>
      <c r="O125" s="1366"/>
      <c r="Q125" s="1366"/>
      <c r="R125" s="1636"/>
      <c r="S125" s="1636"/>
      <c r="T125" s="1366"/>
      <c r="U125" s="1366"/>
      <c r="V125" s="1366"/>
      <c r="W125" s="1366"/>
      <c r="X125" s="1636"/>
      <c r="Y125" s="1366"/>
      <c r="Z125" s="1366"/>
      <c r="AA125" s="544"/>
      <c r="AB125" s="1366"/>
      <c r="AC125" s="1366"/>
      <c r="AD125" s="1366"/>
      <c r="AE125" s="1366"/>
      <c r="AF125" s="1366"/>
      <c r="AG125" s="1632"/>
      <c r="AH125" s="622"/>
      <c r="AI125" s="622"/>
      <c r="AJ125" s="622"/>
      <c r="AK125" s="622"/>
      <c r="AL125" s="1641">
        <v>11</v>
      </c>
    </row>
    <row r="126" s="1641" customFormat="1" ht="11.5" customHeight="1">
      <c r="A126" s="987"/>
      <c r="B126" s="987"/>
      <c r="C126" s="987"/>
      <c r="D126" s="987"/>
      <c r="E126" s="987"/>
      <c r="F126" s="1636"/>
      <c r="G126" s="1636"/>
      <c r="H126" s="351"/>
      <c r="N126" s="1641"/>
      <c r="O126" s="1366"/>
      <c r="Q126" s="1366"/>
      <c r="R126" s="1636"/>
      <c r="S126" s="1636"/>
      <c r="T126" s="1366"/>
      <c r="U126" s="1366"/>
      <c r="V126" s="1366"/>
      <c r="W126" s="1366"/>
      <c r="X126" s="1636"/>
      <c r="Y126" s="1366"/>
      <c r="Z126" s="1366"/>
      <c r="AA126" s="544"/>
      <c r="AB126" s="1366"/>
      <c r="AC126" s="1366"/>
      <c r="AD126" s="1366"/>
      <c r="AE126" s="1366"/>
      <c r="AF126" s="1366"/>
      <c r="AG126" s="1632"/>
      <c r="AH126" s="622"/>
      <c r="AI126" s="622"/>
      <c r="AJ126" s="622"/>
      <c r="AK126" s="622"/>
      <c r="AL126" s="1641">
        <v>11</v>
      </c>
    </row>
    <row r="127" s="1641" customFormat="1" ht="11.5" customHeight="1">
      <c r="A127" s="987"/>
      <c r="B127" s="987"/>
      <c r="C127" s="987"/>
      <c r="D127" s="987"/>
      <c r="E127" s="987"/>
      <c r="F127" s="1636"/>
      <c r="G127" s="1636"/>
      <c r="H127" s="351"/>
      <c r="N127" s="1641"/>
      <c r="O127" s="1366"/>
      <c r="Q127" s="1366"/>
      <c r="R127" s="1636"/>
      <c r="S127" s="1636"/>
      <c r="T127" s="1366"/>
      <c r="U127" s="1366"/>
      <c r="V127" s="1366"/>
      <c r="W127" s="1366"/>
      <c r="X127" s="1636"/>
      <c r="Y127" s="1366"/>
      <c r="Z127" s="1366"/>
      <c r="AA127" s="544"/>
      <c r="AB127" s="1366"/>
      <c r="AC127" s="1366"/>
      <c r="AD127" s="1366"/>
      <c r="AE127" s="1366"/>
      <c r="AF127" s="1366"/>
      <c r="AG127" s="1632"/>
      <c r="AH127" s="622"/>
      <c r="AI127" s="622"/>
      <c r="AJ127" s="622"/>
      <c r="AK127" s="622"/>
      <c r="AL127" s="1641">
        <v>11</v>
      </c>
    </row>
    <row r="128" s="1641" customFormat="1" ht="11.5" customHeight="1">
      <c r="A128" s="987"/>
      <c r="B128" s="987"/>
      <c r="C128" s="987"/>
      <c r="D128" s="987"/>
      <c r="E128" s="987"/>
      <c r="F128" s="1636"/>
      <c r="G128" s="1636"/>
      <c r="H128" s="351"/>
      <c r="N128" s="1641"/>
      <c r="O128" s="1366"/>
      <c r="Q128" s="1366"/>
      <c r="R128" s="1636"/>
      <c r="S128" s="1636"/>
      <c r="T128" s="1366"/>
      <c r="U128" s="1366"/>
      <c r="V128" s="1366"/>
      <c r="W128" s="1366"/>
      <c r="X128" s="1636"/>
      <c r="Y128" s="1366"/>
      <c r="Z128" s="1366"/>
      <c r="AA128" s="544"/>
      <c r="AB128" s="1366"/>
      <c r="AC128" s="1366"/>
      <c r="AD128" s="1366"/>
      <c r="AE128" s="1366"/>
      <c r="AF128" s="1366"/>
      <c r="AG128" s="1632"/>
      <c r="AH128" s="622"/>
      <c r="AI128" s="622"/>
      <c r="AJ128" s="622"/>
      <c r="AK128" s="622"/>
      <c r="AL128" s="1641">
        <v>11</v>
      </c>
    </row>
    <row r="129" s="1641" customFormat="1" ht="11.5" customHeight="1">
      <c r="A129" s="987"/>
      <c r="B129" s="987"/>
      <c r="C129" s="987"/>
      <c r="D129" s="987"/>
      <c r="E129" s="987"/>
      <c r="F129" s="1636"/>
      <c r="G129" s="1636"/>
      <c r="H129" s="351"/>
      <c r="N129" s="1641"/>
      <c r="O129" s="1366"/>
      <c r="Q129" s="1366"/>
      <c r="R129" s="1636"/>
      <c r="S129" s="1636"/>
      <c r="T129" s="1366"/>
      <c r="U129" s="1366"/>
      <c r="V129" s="1366"/>
      <c r="W129" s="1366"/>
      <c r="X129" s="1636"/>
      <c r="Y129" s="1366"/>
      <c r="Z129" s="1366"/>
      <c r="AA129" s="544"/>
      <c r="AB129" s="1366"/>
      <c r="AC129" s="1366"/>
      <c r="AD129" s="1366"/>
      <c r="AE129" s="1366"/>
      <c r="AF129" s="1366"/>
      <c r="AG129" s="1632"/>
      <c r="AH129" s="622"/>
      <c r="AI129" s="622"/>
      <c r="AJ129" s="622"/>
      <c r="AK129" s="622"/>
      <c r="AL129" s="1641">
        <v>11</v>
      </c>
    </row>
    <row r="130" s="1641" customFormat="1" ht="11.5" customHeight="1">
      <c r="A130" s="987"/>
      <c r="B130" s="987"/>
      <c r="C130" s="987"/>
      <c r="D130" s="987"/>
      <c r="E130" s="987"/>
      <c r="F130" s="1636"/>
      <c r="G130" s="1636"/>
      <c r="H130" s="351"/>
      <c r="N130" s="1641"/>
      <c r="O130" s="1366"/>
      <c r="Q130" s="1366"/>
      <c r="R130" s="1636"/>
      <c r="S130" s="1636"/>
      <c r="T130" s="1366"/>
      <c r="U130" s="1366"/>
      <c r="V130" s="1366"/>
      <c r="W130" s="1366"/>
      <c r="X130" s="1636"/>
      <c r="Y130" s="1366"/>
      <c r="Z130" s="1366"/>
      <c r="AA130" s="544"/>
      <c r="AB130" s="1366"/>
      <c r="AC130" s="1366"/>
      <c r="AD130" s="1366"/>
      <c r="AE130" s="1366"/>
      <c r="AF130" s="1366"/>
      <c r="AG130" s="1632"/>
      <c r="AH130" s="622"/>
      <c r="AI130" s="622"/>
      <c r="AJ130" s="622"/>
      <c r="AK130" s="622"/>
      <c r="AL130" s="1641">
        <v>11</v>
      </c>
    </row>
    <row r="131" s="1641" customFormat="1" ht="11.5" customHeight="1">
      <c r="A131" s="987"/>
      <c r="B131" s="987"/>
      <c r="C131" s="987"/>
      <c r="D131" s="987"/>
      <c r="E131" s="987"/>
      <c r="F131" s="1636"/>
      <c r="G131" s="1636"/>
      <c r="H131" s="351"/>
      <c r="N131" s="1641"/>
      <c r="O131" s="1366"/>
      <c r="Q131" s="1366"/>
      <c r="R131" s="1636"/>
      <c r="S131" s="1636"/>
      <c r="T131" s="1366"/>
      <c r="U131" s="1366"/>
      <c r="V131" s="1366"/>
      <c r="W131" s="1366"/>
      <c r="X131" s="1636"/>
      <c r="Y131" s="1366"/>
      <c r="Z131" s="1366"/>
      <c r="AA131" s="544"/>
      <c r="AB131" s="1366"/>
      <c r="AC131" s="1366"/>
      <c r="AD131" s="1366"/>
      <c r="AE131" s="1366"/>
      <c r="AF131" s="1366"/>
      <c r="AG131" s="1632"/>
      <c r="AH131" s="622"/>
      <c r="AI131" s="622"/>
      <c r="AJ131" s="622"/>
      <c r="AK131" s="622"/>
      <c r="AL131" s="1641">
        <v>11</v>
      </c>
    </row>
    <row r="132" s="1641" customFormat="1" ht="11.5" customHeight="1">
      <c r="A132" s="987"/>
      <c r="B132" s="987"/>
      <c r="C132" s="987"/>
      <c r="D132" s="987"/>
      <c r="E132" s="987"/>
      <c r="F132" s="1636"/>
      <c r="G132" s="1636"/>
      <c r="H132" s="351"/>
      <c r="N132" s="1641"/>
      <c r="O132" s="1366"/>
      <c r="Q132" s="1366"/>
      <c r="R132" s="1636"/>
      <c r="S132" s="1636"/>
      <c r="T132" s="1366"/>
      <c r="U132" s="1366"/>
      <c r="V132" s="1366"/>
      <c r="W132" s="1366"/>
      <c r="X132" s="1636"/>
      <c r="Y132" s="1366"/>
      <c r="Z132" s="1366"/>
      <c r="AA132" s="544"/>
      <c r="AB132" s="1366"/>
      <c r="AC132" s="1366"/>
      <c r="AD132" s="1366"/>
      <c r="AE132" s="1366"/>
      <c r="AF132" s="1366"/>
      <c r="AG132" s="1632"/>
      <c r="AH132" s="622"/>
      <c r="AI132" s="622"/>
      <c r="AJ132" s="622"/>
      <c r="AK132" s="622"/>
      <c r="AL132" s="1641">
        <v>11</v>
      </c>
    </row>
    <row r="133" s="1641" customFormat="1" ht="11.5" customHeight="1">
      <c r="A133" s="987"/>
      <c r="B133" s="987"/>
      <c r="C133" s="987"/>
      <c r="D133" s="987"/>
      <c r="E133" s="987"/>
      <c r="F133" s="1636"/>
      <c r="G133" s="1636"/>
      <c r="H133" s="351"/>
      <c r="N133" s="1641"/>
      <c r="O133" s="1366"/>
      <c r="Q133" s="1366"/>
      <c r="R133" s="1636"/>
      <c r="S133" s="1636"/>
      <c r="T133" s="1366"/>
      <c r="U133" s="1366"/>
      <c r="V133" s="1366"/>
      <c r="W133" s="1366"/>
      <c r="X133" s="1636"/>
      <c r="Y133" s="1366"/>
      <c r="Z133" s="1366"/>
      <c r="AA133" s="544"/>
      <c r="AB133" s="1366"/>
      <c r="AC133" s="1366"/>
      <c r="AD133" s="1366"/>
      <c r="AE133" s="1366"/>
      <c r="AF133" s="1366"/>
      <c r="AG133" s="1632"/>
      <c r="AH133" s="622"/>
      <c r="AI133" s="622"/>
      <c r="AJ133" s="622"/>
      <c r="AK133" s="622"/>
      <c r="AL133" s="1641">
        <v>11</v>
      </c>
    </row>
    <row r="134" s="1641" customFormat="1" ht="11.5" customHeight="1">
      <c r="A134" s="987"/>
      <c r="B134" s="987"/>
      <c r="C134" s="987"/>
      <c r="D134" s="987"/>
      <c r="E134" s="987"/>
      <c r="F134" s="1636"/>
      <c r="G134" s="1636"/>
      <c r="H134" s="351"/>
      <c r="N134" s="1641"/>
      <c r="O134" s="1366"/>
      <c r="Q134" s="1366"/>
      <c r="R134" s="1636"/>
      <c r="S134" s="1636"/>
      <c r="T134" s="1366"/>
      <c r="U134" s="1366"/>
      <c r="V134" s="1366"/>
      <c r="W134" s="1366"/>
      <c r="X134" s="1636"/>
      <c r="Y134" s="1366"/>
      <c r="Z134" s="1366"/>
      <c r="AA134" s="544"/>
      <c r="AB134" s="1366"/>
      <c r="AC134" s="1366"/>
      <c r="AD134" s="1366"/>
      <c r="AE134" s="1366"/>
      <c r="AF134" s="1366"/>
      <c r="AG134" s="1632"/>
      <c r="AH134" s="622"/>
      <c r="AI134" s="622"/>
      <c r="AJ134" s="622"/>
      <c r="AK134" s="622"/>
      <c r="AL134" s="1641">
        <v>11</v>
      </c>
    </row>
    <row r="135" s="1641" customFormat="1" ht="11.5" customHeight="1">
      <c r="A135" s="987"/>
      <c r="B135" s="987"/>
      <c r="C135" s="987"/>
      <c r="D135" s="987"/>
      <c r="E135" s="987"/>
      <c r="F135" s="1636"/>
      <c r="G135" s="1636"/>
      <c r="H135" s="351"/>
      <c r="N135" s="1641"/>
      <c r="O135" s="1366"/>
      <c r="Q135" s="1366"/>
      <c r="R135" s="1636"/>
      <c r="S135" s="1636"/>
      <c r="T135" s="1366"/>
      <c r="U135" s="1366"/>
      <c r="V135" s="1366"/>
      <c r="W135" s="1366"/>
      <c r="X135" s="1636"/>
      <c r="Y135" s="1366"/>
      <c r="Z135" s="1366"/>
      <c r="AA135" s="544"/>
      <c r="AB135" s="1366"/>
      <c r="AC135" s="1366"/>
      <c r="AD135" s="1366"/>
      <c r="AE135" s="1366"/>
      <c r="AF135" s="1366"/>
      <c r="AG135" s="1632"/>
      <c r="AH135" s="622"/>
      <c r="AI135" s="622"/>
      <c r="AJ135" s="622"/>
      <c r="AK135" s="622"/>
      <c r="AL135" s="1641">
        <v>11</v>
      </c>
    </row>
    <row r="136" s="1641" customFormat="1" ht="11.5" customHeight="1">
      <c r="A136" s="987"/>
      <c r="B136" s="987"/>
      <c r="C136" s="987"/>
      <c r="D136" s="987"/>
      <c r="E136" s="987"/>
      <c r="F136" s="1636"/>
      <c r="G136" s="1636"/>
      <c r="H136" s="351"/>
      <c r="N136" s="1641"/>
      <c r="O136" s="1366"/>
      <c r="Q136" s="1366"/>
      <c r="R136" s="1636"/>
      <c r="S136" s="1636"/>
      <c r="T136" s="1366"/>
      <c r="U136" s="1366"/>
      <c r="V136" s="1366"/>
      <c r="W136" s="1366"/>
      <c r="X136" s="1636"/>
      <c r="Y136" s="1366"/>
      <c r="Z136" s="1366"/>
      <c r="AA136" s="544"/>
      <c r="AB136" s="1366"/>
      <c r="AC136" s="1366"/>
      <c r="AD136" s="1366"/>
      <c r="AE136" s="1366"/>
      <c r="AF136" s="1366"/>
      <c r="AG136" s="1632"/>
      <c r="AH136" s="622"/>
      <c r="AI136" s="622"/>
      <c r="AJ136" s="622"/>
      <c r="AK136" s="622"/>
      <c r="AL136" s="1641">
        <v>11</v>
      </c>
    </row>
    <row r="137" s="1641" customFormat="1" ht="11.5" customHeight="1">
      <c r="A137" s="987"/>
      <c r="B137" s="987"/>
      <c r="C137" s="987"/>
      <c r="D137" s="987"/>
      <c r="E137" s="987"/>
      <c r="F137" s="1636"/>
      <c r="G137" s="1636"/>
      <c r="H137" s="351"/>
      <c r="N137" s="1641"/>
      <c r="O137" s="1366"/>
      <c r="Q137" s="1366"/>
      <c r="R137" s="1636"/>
      <c r="S137" s="1636"/>
      <c r="T137" s="1366"/>
      <c r="U137" s="1366"/>
      <c r="V137" s="1366"/>
      <c r="W137" s="1366"/>
      <c r="X137" s="1636"/>
      <c r="Y137" s="1366"/>
      <c r="Z137" s="1366"/>
      <c r="AA137" s="544"/>
      <c r="AB137" s="1366"/>
      <c r="AC137" s="1366"/>
      <c r="AD137" s="1366"/>
      <c r="AE137" s="1366"/>
      <c r="AF137" s="1366"/>
      <c r="AG137" s="1632"/>
      <c r="AH137" s="622"/>
      <c r="AI137" s="622"/>
      <c r="AJ137" s="622"/>
      <c r="AK137" s="622"/>
      <c r="AL137" s="1641">
        <v>11</v>
      </c>
    </row>
    <row r="138" s="1641" customFormat="1" ht="11.5" customHeight="1">
      <c r="A138" s="987"/>
      <c r="B138" s="987"/>
      <c r="C138" s="987"/>
      <c r="D138" s="987"/>
      <c r="E138" s="987"/>
      <c r="F138" s="1636"/>
      <c r="G138" s="1636"/>
      <c r="H138" s="351"/>
      <c r="N138" s="1641"/>
      <c r="O138" s="1366"/>
      <c r="Q138" s="1366"/>
      <c r="R138" s="1636"/>
      <c r="S138" s="1636"/>
      <c r="T138" s="1366"/>
      <c r="U138" s="1366"/>
      <c r="V138" s="1366"/>
      <c r="W138" s="1366"/>
      <c r="X138" s="1636"/>
      <c r="Y138" s="1366"/>
      <c r="Z138" s="1366"/>
      <c r="AA138" s="544"/>
      <c r="AB138" s="1366"/>
      <c r="AC138" s="1366"/>
      <c r="AD138" s="1366"/>
      <c r="AE138" s="1366"/>
      <c r="AF138" s="1366"/>
      <c r="AG138" s="1632"/>
      <c r="AH138" s="622"/>
      <c r="AI138" s="622"/>
      <c r="AJ138" s="622"/>
      <c r="AK138" s="622"/>
      <c r="AL138" s="1641">
        <v>11</v>
      </c>
    </row>
    <row r="139" s="1641" customFormat="1" ht="11.5" customHeight="1">
      <c r="A139" s="987"/>
      <c r="B139" s="987"/>
      <c r="C139" s="987"/>
      <c r="D139" s="987"/>
      <c r="E139" s="987"/>
      <c r="F139" s="1636"/>
      <c r="G139" s="1636"/>
      <c r="H139" s="351"/>
      <c r="N139" s="1641"/>
      <c r="O139" s="1366"/>
      <c r="Q139" s="1366"/>
      <c r="R139" s="1636"/>
      <c r="S139" s="1636"/>
      <c r="T139" s="1366"/>
      <c r="U139" s="1366"/>
      <c r="V139" s="1366"/>
      <c r="W139" s="1366"/>
      <c r="X139" s="1636"/>
      <c r="Y139" s="1366"/>
      <c r="Z139" s="1366"/>
      <c r="AA139" s="544"/>
      <c r="AB139" s="1366"/>
      <c r="AC139" s="1366"/>
      <c r="AD139" s="1366"/>
      <c r="AE139" s="1366"/>
      <c r="AF139" s="1366"/>
      <c r="AG139" s="1632"/>
      <c r="AH139" s="622"/>
      <c r="AI139" s="622"/>
      <c r="AJ139" s="622"/>
      <c r="AK139" s="622"/>
      <c r="AL139" s="1641">
        <v>11</v>
      </c>
    </row>
    <row r="140" s="1641" customFormat="1" ht="11.5" customHeight="1">
      <c r="A140" s="987"/>
      <c r="B140" s="987"/>
      <c r="C140" s="987"/>
      <c r="D140" s="987"/>
      <c r="E140" s="987"/>
      <c r="F140" s="1636"/>
      <c r="G140" s="1636"/>
      <c r="H140" s="351"/>
      <c r="N140" s="1641"/>
      <c r="O140" s="1366"/>
      <c r="Q140" s="1366"/>
      <c r="R140" s="1636"/>
      <c r="S140" s="1636"/>
      <c r="T140" s="1366"/>
      <c r="U140" s="1366"/>
      <c r="V140" s="1366"/>
      <c r="W140" s="1366"/>
      <c r="X140" s="1636"/>
      <c r="Y140" s="1366"/>
      <c r="Z140" s="1366"/>
      <c r="AA140" s="544"/>
      <c r="AB140" s="1366"/>
      <c r="AC140" s="1366"/>
      <c r="AD140" s="1366"/>
      <c r="AE140" s="1366"/>
      <c r="AF140" s="1366"/>
      <c r="AG140" s="1632"/>
      <c r="AH140" s="622"/>
      <c r="AI140" s="622"/>
      <c r="AJ140" s="622"/>
      <c r="AK140" s="622"/>
      <c r="AL140" s="1641">
        <v>11</v>
      </c>
    </row>
    <row r="141" s="1641" customFormat="1" ht="11.5" customHeight="1">
      <c r="A141" s="987"/>
      <c r="B141" s="987"/>
      <c r="C141" s="987"/>
      <c r="D141" s="987"/>
      <c r="E141" s="987"/>
      <c r="F141" s="1636"/>
      <c r="G141" s="1636"/>
      <c r="H141" s="351"/>
      <c r="N141" s="1641"/>
      <c r="O141" s="1366"/>
      <c r="Q141" s="1366"/>
      <c r="R141" s="1636"/>
      <c r="S141" s="1636"/>
      <c r="T141" s="1366"/>
      <c r="U141" s="1366"/>
      <c r="V141" s="1366"/>
      <c r="W141" s="1366"/>
      <c r="X141" s="1636"/>
      <c r="Y141" s="1366"/>
      <c r="Z141" s="1366"/>
      <c r="AA141" s="544"/>
      <c r="AB141" s="1366"/>
      <c r="AC141" s="1366"/>
      <c r="AD141" s="1366"/>
      <c r="AE141" s="1366"/>
      <c r="AF141" s="1366"/>
      <c r="AG141" s="1632"/>
      <c r="AH141" s="622"/>
      <c r="AI141" s="622"/>
      <c r="AJ141" s="622"/>
      <c r="AK141" s="622"/>
      <c r="AL141" s="1641">
        <v>11</v>
      </c>
    </row>
    <row r="142" s="1641" customFormat="1" ht="11.5" customHeight="1">
      <c r="A142" s="987"/>
      <c r="B142" s="987"/>
      <c r="C142" s="987"/>
      <c r="D142" s="987"/>
      <c r="E142" s="987"/>
      <c r="F142" s="1636"/>
      <c r="G142" s="1636"/>
      <c r="H142" s="351"/>
      <c r="N142" s="1641"/>
      <c r="O142" s="1366"/>
      <c r="Q142" s="1366"/>
      <c r="R142" s="1636"/>
      <c r="S142" s="1636"/>
      <c r="T142" s="1366"/>
      <c r="U142" s="1366"/>
      <c r="V142" s="1366"/>
      <c r="W142" s="1366"/>
      <c r="X142" s="1636"/>
      <c r="Y142" s="1366"/>
      <c r="Z142" s="1366"/>
      <c r="AA142" s="544"/>
      <c r="AB142" s="1366"/>
      <c r="AC142" s="1366"/>
      <c r="AD142" s="1366"/>
      <c r="AE142" s="1366"/>
      <c r="AF142" s="1366"/>
      <c r="AG142" s="1632"/>
      <c r="AH142" s="622"/>
      <c r="AI142" s="622"/>
      <c r="AJ142" s="622"/>
      <c r="AK142" s="622"/>
      <c r="AL142" s="1641">
        <v>11</v>
      </c>
    </row>
    <row r="143" s="1641" customFormat="1" ht="11.5" customHeight="1">
      <c r="A143" s="987"/>
      <c r="B143" s="987"/>
      <c r="C143" s="987"/>
      <c r="D143" s="987"/>
      <c r="E143" s="987"/>
      <c r="F143" s="1636"/>
      <c r="G143" s="1636"/>
      <c r="H143" s="351"/>
      <c r="N143" s="1641"/>
      <c r="O143" s="1366"/>
      <c r="Q143" s="1366"/>
      <c r="R143" s="1636"/>
      <c r="S143" s="1636"/>
      <c r="T143" s="1366"/>
      <c r="U143" s="1366"/>
      <c r="V143" s="1366"/>
      <c r="W143" s="1366"/>
      <c r="X143" s="1636"/>
      <c r="Y143" s="1366"/>
      <c r="Z143" s="1366"/>
      <c r="AA143" s="544"/>
      <c r="AB143" s="1366"/>
      <c r="AC143" s="1366"/>
      <c r="AD143" s="1366"/>
      <c r="AE143" s="1366"/>
      <c r="AF143" s="1366"/>
      <c r="AG143" s="1632"/>
      <c r="AH143" s="622"/>
      <c r="AI143" s="622"/>
      <c r="AJ143" s="622"/>
      <c r="AK143" s="622"/>
      <c r="AL143" s="1641">
        <v>11</v>
      </c>
    </row>
    <row r="144" s="1641" customFormat="1" ht="11.5" customHeight="1">
      <c r="A144" s="987"/>
      <c r="B144" s="987"/>
      <c r="C144" s="987"/>
      <c r="D144" s="987"/>
      <c r="E144" s="987"/>
      <c r="F144" s="1636"/>
      <c r="G144" s="1636"/>
      <c r="H144" s="351"/>
      <c r="N144" s="1641"/>
      <c r="O144" s="1366"/>
      <c r="Q144" s="1366"/>
      <c r="R144" s="1636"/>
      <c r="S144" s="1636"/>
      <c r="T144" s="1366"/>
      <c r="U144" s="1366"/>
      <c r="V144" s="1366"/>
      <c r="W144" s="1366"/>
      <c r="X144" s="1636"/>
      <c r="Y144" s="1366"/>
      <c r="Z144" s="1366"/>
      <c r="AA144" s="544"/>
      <c r="AB144" s="1366"/>
      <c r="AC144" s="1366"/>
      <c r="AD144" s="1366"/>
      <c r="AE144" s="1366"/>
      <c r="AF144" s="1366"/>
      <c r="AG144" s="1632"/>
      <c r="AH144" s="622"/>
      <c r="AI144" s="622"/>
      <c r="AJ144" s="622"/>
      <c r="AK144" s="622"/>
      <c r="AL144" s="1641">
        <v>11</v>
      </c>
    </row>
    <row r="145" s="1641" customFormat="1" ht="11.5" customHeight="1">
      <c r="A145" s="987"/>
      <c r="B145" s="987"/>
      <c r="C145" s="987"/>
      <c r="D145" s="987"/>
      <c r="E145" s="987"/>
      <c r="F145" s="1636"/>
      <c r="G145" s="1636"/>
      <c r="H145" s="351"/>
      <c r="N145" s="1641"/>
      <c r="O145" s="1366"/>
      <c r="Q145" s="1366"/>
      <c r="R145" s="1636"/>
      <c r="S145" s="1636"/>
      <c r="T145" s="1366"/>
      <c r="U145" s="1366"/>
      <c r="V145" s="1366"/>
      <c r="W145" s="1366"/>
      <c r="X145" s="1636"/>
      <c r="Y145" s="1366"/>
      <c r="Z145" s="1366"/>
      <c r="AA145" s="544"/>
      <c r="AB145" s="1366"/>
      <c r="AC145" s="1366"/>
      <c r="AD145" s="1366"/>
      <c r="AE145" s="1366"/>
      <c r="AF145" s="1366"/>
      <c r="AG145" s="1632"/>
      <c r="AH145" s="622"/>
      <c r="AI145" s="622"/>
      <c r="AJ145" s="622"/>
      <c r="AK145" s="622"/>
      <c r="AL145" s="1641">
        <v>11</v>
      </c>
    </row>
    <row r="146" s="1641" customFormat="1" ht="11.5" customHeight="1">
      <c r="A146" s="987"/>
      <c r="B146" s="987"/>
      <c r="C146" s="987"/>
      <c r="D146" s="987"/>
      <c r="E146" s="987"/>
      <c r="F146" s="1636"/>
      <c r="G146" s="1636"/>
      <c r="H146" s="351"/>
      <c r="N146" s="1641"/>
      <c r="O146" s="1366"/>
      <c r="Q146" s="1366"/>
      <c r="R146" s="1636"/>
      <c r="S146" s="1636"/>
      <c r="T146" s="1366"/>
      <c r="U146" s="1366"/>
      <c r="V146" s="1366"/>
      <c r="W146" s="1366"/>
      <c r="X146" s="1636"/>
      <c r="Y146" s="1366"/>
      <c r="Z146" s="1366"/>
      <c r="AA146" s="544"/>
      <c r="AB146" s="1366"/>
      <c r="AC146" s="1366"/>
      <c r="AD146" s="1366"/>
      <c r="AE146" s="1366"/>
      <c r="AF146" s="1366"/>
      <c r="AG146" s="1632"/>
      <c r="AH146" s="622"/>
      <c r="AI146" s="622"/>
      <c r="AJ146" s="622"/>
      <c r="AK146" s="622"/>
      <c r="AL146" s="1641">
        <v>11</v>
      </c>
    </row>
    <row r="147" s="1641" customFormat="1" ht="11.5" customHeight="1">
      <c r="A147" s="987"/>
      <c r="B147" s="987"/>
      <c r="C147" s="987"/>
      <c r="D147" s="987"/>
      <c r="E147" s="987"/>
      <c r="F147" s="1636"/>
      <c r="G147" s="1636"/>
      <c r="H147" s="351"/>
      <c r="N147" s="1641"/>
      <c r="O147" s="1366"/>
      <c r="Q147" s="1366"/>
      <c r="R147" s="1636"/>
      <c r="S147" s="1636"/>
      <c r="T147" s="1366"/>
      <c r="U147" s="1366"/>
      <c r="V147" s="1366"/>
      <c r="W147" s="1366"/>
      <c r="X147" s="1636"/>
      <c r="Y147" s="1366"/>
      <c r="Z147" s="1366"/>
      <c r="AA147" s="544"/>
      <c r="AB147" s="1366"/>
      <c r="AC147" s="1366"/>
      <c r="AD147" s="1366"/>
      <c r="AE147" s="1366"/>
      <c r="AF147" s="1366"/>
      <c r="AG147" s="1632"/>
      <c r="AH147" s="622"/>
      <c r="AI147" s="622"/>
      <c r="AJ147" s="622"/>
      <c r="AK147" s="622"/>
      <c r="AL147" s="1641">
        <v>11</v>
      </c>
    </row>
    <row r="148" s="1641" customFormat="1" ht="11.5" customHeight="1">
      <c r="A148" s="987"/>
      <c r="B148" s="987"/>
      <c r="C148" s="987"/>
      <c r="D148" s="987"/>
      <c r="E148" s="987"/>
      <c r="F148" s="1636"/>
      <c r="G148" s="1636"/>
      <c r="H148" s="351"/>
      <c r="N148" s="1641"/>
      <c r="O148" s="1366"/>
      <c r="Q148" s="1366"/>
      <c r="R148" s="1636"/>
      <c r="S148" s="1636"/>
      <c r="T148" s="1366"/>
      <c r="U148" s="1366"/>
      <c r="V148" s="1366"/>
      <c r="W148" s="1366"/>
      <c r="X148" s="1636"/>
      <c r="Y148" s="1366"/>
      <c r="Z148" s="1366"/>
      <c r="AA148" s="544"/>
      <c r="AB148" s="1366"/>
      <c r="AC148" s="1366"/>
      <c r="AD148" s="1366"/>
      <c r="AE148" s="1366"/>
      <c r="AF148" s="1366"/>
      <c r="AG148" s="1632"/>
      <c r="AH148" s="622"/>
      <c r="AI148" s="622"/>
      <c r="AJ148" s="622"/>
      <c r="AK148" s="622"/>
      <c r="AL148" s="1641">
        <v>11</v>
      </c>
    </row>
    <row r="149" s="1641" customFormat="1" ht="11.5" customHeight="1">
      <c r="A149" s="987"/>
      <c r="B149" s="987"/>
      <c r="C149" s="987"/>
      <c r="D149" s="987"/>
      <c r="E149" s="987"/>
      <c r="F149" s="1636"/>
      <c r="G149" s="1636"/>
      <c r="H149" s="351"/>
      <c r="N149" s="1641"/>
      <c r="O149" s="1366"/>
      <c r="Q149" s="1366"/>
      <c r="R149" s="1636"/>
      <c r="S149" s="1636"/>
      <c r="T149" s="1366"/>
      <c r="U149" s="1366"/>
      <c r="V149" s="1366"/>
      <c r="W149" s="1366"/>
      <c r="X149" s="1636"/>
      <c r="Y149" s="1366"/>
      <c r="Z149" s="1366"/>
      <c r="AA149" s="544"/>
      <c r="AB149" s="1366"/>
      <c r="AC149" s="1366"/>
      <c r="AD149" s="1366"/>
      <c r="AE149" s="1366"/>
      <c r="AF149" s="1366"/>
      <c r="AG149" s="1632"/>
      <c r="AH149" s="622"/>
      <c r="AI149" s="622"/>
      <c r="AJ149" s="622"/>
      <c r="AK149" s="622"/>
      <c r="AL149" s="1641">
        <v>11</v>
      </c>
    </row>
    <row r="150" s="1641" customFormat="1" ht="11.5" customHeight="1">
      <c r="A150" s="987"/>
      <c r="B150" s="987"/>
      <c r="C150" s="987"/>
      <c r="D150" s="987"/>
      <c r="E150" s="987"/>
      <c r="F150" s="1636"/>
      <c r="G150" s="1636"/>
      <c r="H150" s="351"/>
      <c r="N150" s="1641"/>
      <c r="O150" s="1366"/>
      <c r="Q150" s="1366"/>
      <c r="R150" s="1636"/>
      <c r="S150" s="1636"/>
      <c r="T150" s="1366"/>
      <c r="U150" s="1366"/>
      <c r="V150" s="1366"/>
      <c r="W150" s="1366"/>
      <c r="X150" s="1636"/>
      <c r="Y150" s="1366"/>
      <c r="Z150" s="1366"/>
      <c r="AA150" s="544"/>
      <c r="AB150" s="1366"/>
      <c r="AC150" s="1366"/>
      <c r="AD150" s="1366"/>
      <c r="AE150" s="1366"/>
      <c r="AF150" s="1366"/>
      <c r="AG150" s="1632"/>
      <c r="AH150" s="622"/>
      <c r="AI150" s="622"/>
      <c r="AJ150" s="622"/>
      <c r="AK150" s="622"/>
      <c r="AL150" s="1641">
        <v>11</v>
      </c>
    </row>
    <row r="151" s="1641" customFormat="1" ht="11.5" customHeight="1">
      <c r="A151" s="987"/>
      <c r="B151" s="987"/>
      <c r="C151" s="987"/>
      <c r="D151" s="987"/>
      <c r="E151" s="987"/>
      <c r="F151" s="1636"/>
      <c r="G151" s="1636"/>
      <c r="H151" s="351"/>
      <c r="N151" s="1641"/>
      <c r="O151" s="1366"/>
      <c r="Q151" s="1366"/>
      <c r="R151" s="1636"/>
      <c r="S151" s="1636"/>
      <c r="T151" s="1366"/>
      <c r="U151" s="1366"/>
      <c r="V151" s="1366"/>
      <c r="W151" s="1366"/>
      <c r="X151" s="1636"/>
      <c r="Y151" s="1366"/>
      <c r="Z151" s="1366"/>
      <c r="AA151" s="544"/>
      <c r="AB151" s="1366"/>
      <c r="AC151" s="1366"/>
      <c r="AD151" s="1366"/>
      <c r="AE151" s="1366"/>
      <c r="AF151" s="1366"/>
      <c r="AG151" s="1632"/>
      <c r="AH151" s="622"/>
      <c r="AI151" s="622"/>
      <c r="AJ151" s="622"/>
      <c r="AK151" s="622"/>
      <c r="AL151" s="1641">
        <v>11</v>
      </c>
    </row>
    <row r="152" s="1641" customFormat="1" ht="11.5" customHeight="1">
      <c r="A152" s="987"/>
      <c r="B152" s="987"/>
      <c r="C152" s="987"/>
      <c r="D152" s="987"/>
      <c r="E152" s="987"/>
      <c r="F152" s="1636"/>
      <c r="G152" s="1636"/>
      <c r="H152" s="351"/>
      <c r="N152" s="1641"/>
      <c r="O152" s="1366"/>
      <c r="Q152" s="1366"/>
      <c r="R152" s="1636"/>
      <c r="S152" s="1636"/>
      <c r="T152" s="1366"/>
      <c r="U152" s="1366"/>
      <c r="V152" s="1366"/>
      <c r="W152" s="1366"/>
      <c r="X152" s="1636"/>
      <c r="Y152" s="1366"/>
      <c r="Z152" s="1366"/>
      <c r="AA152" s="544"/>
      <c r="AB152" s="1366"/>
      <c r="AC152" s="1366"/>
      <c r="AD152" s="1366"/>
      <c r="AE152" s="1366"/>
      <c r="AF152" s="1366"/>
      <c r="AG152" s="1632"/>
      <c r="AH152" s="622"/>
      <c r="AI152" s="622"/>
      <c r="AJ152" s="622"/>
      <c r="AK152" s="622"/>
      <c r="AL152" s="1641">
        <v>11</v>
      </c>
    </row>
    <row r="153" s="1641" customFormat="1" ht="11.5" customHeight="1">
      <c r="A153" s="987"/>
      <c r="B153" s="987"/>
      <c r="C153" s="987"/>
      <c r="D153" s="987"/>
      <c r="E153" s="987"/>
      <c r="F153" s="1636"/>
      <c r="G153" s="1636"/>
      <c r="H153" s="351"/>
      <c r="N153" s="1641"/>
      <c r="O153" s="1366"/>
      <c r="Q153" s="1366"/>
      <c r="R153" s="1636"/>
      <c r="S153" s="1636"/>
      <c r="T153" s="1366"/>
      <c r="U153" s="1366"/>
      <c r="V153" s="1366"/>
      <c r="W153" s="1366"/>
      <c r="X153" s="1636"/>
      <c r="Y153" s="1366"/>
      <c r="Z153" s="1366"/>
      <c r="AA153" s="544"/>
      <c r="AB153" s="1366"/>
      <c r="AC153" s="1366"/>
      <c r="AD153" s="1366"/>
      <c r="AE153" s="1366"/>
      <c r="AF153" s="1366"/>
      <c r="AG153" s="1632"/>
      <c r="AH153" s="622"/>
      <c r="AI153" s="622"/>
      <c r="AJ153" s="622"/>
      <c r="AK153" s="622"/>
      <c r="AL153" s="1641">
        <v>11</v>
      </c>
    </row>
    <row r="154" s="1641" customFormat="1" ht="11.5" customHeight="1">
      <c r="A154" s="987"/>
      <c r="B154" s="987"/>
      <c r="C154" s="987"/>
      <c r="D154" s="987"/>
      <c r="E154" s="987"/>
      <c r="F154" s="1636"/>
      <c r="G154" s="1636"/>
      <c r="H154" s="351"/>
      <c r="N154" s="1641"/>
      <c r="O154" s="1366"/>
      <c r="Q154" s="1366"/>
      <c r="R154" s="1636"/>
      <c r="S154" s="1636"/>
      <c r="T154" s="1366"/>
      <c r="U154" s="1366"/>
      <c r="V154" s="1366"/>
      <c r="W154" s="1366"/>
      <c r="X154" s="1636"/>
      <c r="Y154" s="1366"/>
      <c r="Z154" s="1366"/>
      <c r="AA154" s="544"/>
      <c r="AB154" s="1366"/>
      <c r="AC154" s="1366"/>
      <c r="AD154" s="1366"/>
      <c r="AE154" s="1366"/>
      <c r="AF154" s="1366"/>
      <c r="AG154" s="1632"/>
      <c r="AH154" s="622"/>
      <c r="AI154" s="622"/>
      <c r="AJ154" s="622"/>
      <c r="AK154" s="622"/>
      <c r="AL154" s="1641">
        <v>11</v>
      </c>
    </row>
    <row r="155" s="1641" customFormat="1" ht="11.5" customHeight="1">
      <c r="A155" s="987"/>
      <c r="B155" s="987"/>
      <c r="C155" s="987"/>
      <c r="D155" s="987"/>
      <c r="E155" s="987"/>
      <c r="F155" s="1636"/>
      <c r="G155" s="1636"/>
      <c r="H155" s="351"/>
      <c r="N155" s="1641"/>
      <c r="O155" s="1366"/>
      <c r="Q155" s="1366"/>
      <c r="R155" s="1636"/>
      <c r="S155" s="1636"/>
      <c r="T155" s="1366"/>
      <c r="U155" s="1366"/>
      <c r="V155" s="1366"/>
      <c r="W155" s="1366"/>
      <c r="X155" s="1636"/>
      <c r="Y155" s="1366"/>
      <c r="Z155" s="1366"/>
      <c r="AA155" s="544"/>
      <c r="AB155" s="1366"/>
      <c r="AC155" s="1366"/>
      <c r="AD155" s="1366"/>
      <c r="AE155" s="1366"/>
      <c r="AF155" s="1366"/>
      <c r="AG155" s="1632"/>
      <c r="AH155" s="622"/>
      <c r="AI155" s="622"/>
      <c r="AJ155" s="622"/>
      <c r="AK155" s="622"/>
      <c r="AL155" s="1641">
        <v>11</v>
      </c>
    </row>
    <row r="156" s="1641" customFormat="1" ht="11.5" customHeight="1">
      <c r="A156" s="987"/>
      <c r="B156" s="987"/>
      <c r="C156" s="987"/>
      <c r="D156" s="987"/>
      <c r="E156" s="987"/>
      <c r="F156" s="1636"/>
      <c r="G156" s="1636"/>
      <c r="H156" s="351"/>
      <c r="N156" s="1641"/>
      <c r="O156" s="1366"/>
      <c r="Q156" s="1366"/>
      <c r="R156" s="1636"/>
      <c r="S156" s="1636"/>
      <c r="T156" s="1366"/>
      <c r="U156" s="1366"/>
      <c r="V156" s="1366"/>
      <c r="W156" s="1366"/>
      <c r="X156" s="1636"/>
      <c r="Y156" s="1366"/>
      <c r="Z156" s="1366"/>
      <c r="AA156" s="544"/>
      <c r="AB156" s="1366"/>
      <c r="AC156" s="1366"/>
      <c r="AD156" s="1366"/>
      <c r="AE156" s="1366"/>
      <c r="AF156" s="1366"/>
      <c r="AG156" s="1632"/>
      <c r="AH156" s="622"/>
      <c r="AI156" s="622"/>
      <c r="AJ156" s="622"/>
      <c r="AK156" s="622"/>
      <c r="AL156" s="1641">
        <v>11</v>
      </c>
    </row>
    <row r="157" s="1641" customFormat="1" ht="11.5" customHeight="1">
      <c r="A157" s="987"/>
      <c r="B157" s="987"/>
      <c r="C157" s="987"/>
      <c r="D157" s="987"/>
      <c r="E157" s="987"/>
      <c r="F157" s="1636"/>
      <c r="G157" s="1636"/>
      <c r="H157" s="351"/>
      <c r="N157" s="1641"/>
      <c r="O157" s="1366"/>
      <c r="Q157" s="1366"/>
      <c r="R157" s="1636"/>
      <c r="S157" s="1636"/>
      <c r="T157" s="1366"/>
      <c r="U157" s="1366"/>
      <c r="V157" s="1366"/>
      <c r="W157" s="1366"/>
      <c r="X157" s="1636"/>
      <c r="Y157" s="1366"/>
      <c r="Z157" s="1366"/>
      <c r="AA157" s="544"/>
      <c r="AB157" s="1366"/>
      <c r="AC157" s="1366"/>
      <c r="AD157" s="1366"/>
      <c r="AE157" s="1366"/>
      <c r="AF157" s="1366"/>
      <c r="AG157" s="1632"/>
      <c r="AH157" s="622"/>
      <c r="AI157" s="622"/>
      <c r="AJ157" s="622"/>
      <c r="AK157" s="622"/>
      <c r="AL157" s="1641">
        <v>11</v>
      </c>
    </row>
    <row r="158" s="1641" customFormat="1" ht="11.5" customHeight="1">
      <c r="A158" s="987"/>
      <c r="B158" s="987"/>
      <c r="C158" s="987"/>
      <c r="D158" s="987"/>
      <c r="E158" s="987"/>
      <c r="F158" s="1636"/>
      <c r="G158" s="1636"/>
      <c r="H158" s="351"/>
      <c r="N158" s="1641"/>
      <c r="O158" s="1366"/>
      <c r="Q158" s="1366"/>
      <c r="R158" s="1636"/>
      <c r="S158" s="1636"/>
      <c r="T158" s="1366"/>
      <c r="U158" s="1366"/>
      <c r="V158" s="1366"/>
      <c r="W158" s="1366"/>
      <c r="X158" s="1636"/>
      <c r="Y158" s="1366"/>
      <c r="Z158" s="1366"/>
      <c r="AA158" s="544"/>
      <c r="AB158" s="1366"/>
      <c r="AC158" s="1366"/>
      <c r="AD158" s="1366"/>
      <c r="AE158" s="1366"/>
      <c r="AF158" s="1366"/>
      <c r="AG158" s="1632"/>
      <c r="AH158" s="622"/>
      <c r="AI158" s="622"/>
      <c r="AJ158" s="622"/>
      <c r="AK158" s="622"/>
      <c r="AL158" s="1641">
        <v>11</v>
      </c>
    </row>
    <row r="159" s="1641" customFormat="1" ht="11.5" customHeight="1">
      <c r="A159" s="987"/>
      <c r="B159" s="987"/>
      <c r="C159" s="987"/>
      <c r="D159" s="987"/>
      <c r="E159" s="987"/>
      <c r="F159" s="1636"/>
      <c r="G159" s="1636"/>
      <c r="H159" s="351"/>
      <c r="N159" s="1641"/>
      <c r="O159" s="1366"/>
      <c r="Q159" s="1366"/>
      <c r="R159" s="1636"/>
      <c r="S159" s="1636"/>
      <c r="T159" s="1366"/>
      <c r="U159" s="1366"/>
      <c r="V159" s="1366"/>
      <c r="W159" s="1366"/>
      <c r="X159" s="1636"/>
      <c r="Y159" s="1366"/>
      <c r="Z159" s="1366"/>
      <c r="AA159" s="544"/>
      <c r="AB159" s="1366"/>
      <c r="AC159" s="1366"/>
      <c r="AD159" s="1366"/>
      <c r="AE159" s="1366"/>
      <c r="AF159" s="1366"/>
      <c r="AG159" s="1632"/>
      <c r="AH159" s="622"/>
      <c r="AI159" s="622"/>
      <c r="AJ159" s="622"/>
      <c r="AK159" s="622"/>
      <c r="AL159" s="1641">
        <v>11</v>
      </c>
    </row>
    <row r="160" s="1641" customFormat="1" ht="11.5" customHeight="1">
      <c r="A160" s="987"/>
      <c r="B160" s="987"/>
      <c r="C160" s="987"/>
      <c r="D160" s="987"/>
      <c r="E160" s="987"/>
      <c r="F160" s="1636"/>
      <c r="G160" s="1636"/>
      <c r="H160" s="351"/>
      <c r="N160" s="1641"/>
      <c r="O160" s="1366"/>
      <c r="Q160" s="1366"/>
      <c r="R160" s="1636"/>
      <c r="S160" s="1636"/>
      <c r="T160" s="1366"/>
      <c r="U160" s="1366"/>
      <c r="V160" s="1366"/>
      <c r="W160" s="1366"/>
      <c r="X160" s="1636"/>
      <c r="Y160" s="1366"/>
      <c r="Z160" s="1366"/>
      <c r="AA160" s="544"/>
      <c r="AB160" s="1366"/>
      <c r="AC160" s="1366"/>
      <c r="AD160" s="1366"/>
      <c r="AE160" s="1366"/>
      <c r="AF160" s="1366"/>
      <c r="AG160" s="1632"/>
      <c r="AH160" s="622"/>
      <c r="AI160" s="622"/>
      <c r="AJ160" s="622"/>
      <c r="AK160" s="622"/>
      <c r="AL160" s="1641">
        <v>11</v>
      </c>
    </row>
    <row r="161" s="1641" customFormat="1" ht="11.5" customHeight="1">
      <c r="A161" s="987"/>
      <c r="B161" s="987"/>
      <c r="C161" s="987"/>
      <c r="D161" s="987"/>
      <c r="E161" s="987"/>
      <c r="F161" s="1636"/>
      <c r="G161" s="1636"/>
      <c r="H161" s="351"/>
      <c r="N161" s="1641"/>
      <c r="O161" s="1366"/>
      <c r="Q161" s="1366"/>
      <c r="R161" s="1636"/>
      <c r="S161" s="1636"/>
      <c r="T161" s="1366"/>
      <c r="U161" s="1366"/>
      <c r="V161" s="1366"/>
      <c r="W161" s="1366"/>
      <c r="X161" s="1636"/>
      <c r="Y161" s="1366"/>
      <c r="Z161" s="1366"/>
      <c r="AA161" s="544"/>
      <c r="AB161" s="1366"/>
      <c r="AC161" s="1366"/>
      <c r="AD161" s="1366"/>
      <c r="AE161" s="1366"/>
      <c r="AF161" s="1366"/>
      <c r="AG161" s="1632"/>
      <c r="AH161" s="622"/>
      <c r="AI161" s="622"/>
      <c r="AJ161" s="622"/>
      <c r="AK161" s="622"/>
      <c r="AL161" s="1641">
        <v>11</v>
      </c>
    </row>
    <row r="162" s="1641" customFormat="1" ht="11.5" customHeight="1">
      <c r="A162" s="987"/>
      <c r="B162" s="987"/>
      <c r="C162" s="987"/>
      <c r="D162" s="987"/>
      <c r="E162" s="987"/>
      <c r="F162" s="1636"/>
      <c r="G162" s="1636"/>
      <c r="H162" s="351"/>
      <c r="N162" s="1641"/>
      <c r="O162" s="1366"/>
      <c r="Q162" s="1366"/>
      <c r="R162" s="1636"/>
      <c r="S162" s="1636"/>
      <c r="T162" s="1366"/>
      <c r="U162" s="1366"/>
      <c r="V162" s="1366"/>
      <c r="W162" s="1366"/>
      <c r="X162" s="1636"/>
      <c r="Y162" s="1366"/>
      <c r="Z162" s="1366"/>
      <c r="AA162" s="544"/>
      <c r="AB162" s="1366"/>
      <c r="AC162" s="1366"/>
      <c r="AD162" s="1366"/>
      <c r="AE162" s="1366"/>
      <c r="AF162" s="1366"/>
      <c r="AG162" s="1632"/>
      <c r="AH162" s="622"/>
      <c r="AI162" s="622"/>
      <c r="AJ162" s="622"/>
      <c r="AK162" s="622"/>
      <c r="AL162" s="1641">
        <v>11</v>
      </c>
    </row>
    <row r="163" s="1641" customFormat="1" ht="11.5" customHeight="1">
      <c r="A163" s="987"/>
      <c r="B163" s="987"/>
      <c r="C163" s="987"/>
      <c r="D163" s="987"/>
      <c r="E163" s="987"/>
      <c r="F163" s="1636"/>
      <c r="G163" s="1636"/>
      <c r="H163" s="351"/>
      <c r="N163" s="1641"/>
      <c r="O163" s="1366"/>
      <c r="Q163" s="1366"/>
      <c r="R163" s="1636"/>
      <c r="S163" s="1636"/>
      <c r="T163" s="1366"/>
      <c r="U163" s="1366"/>
      <c r="V163" s="1366"/>
      <c r="W163" s="1366"/>
      <c r="X163" s="1636"/>
      <c r="Y163" s="1366"/>
      <c r="Z163" s="1366"/>
      <c r="AA163" s="544"/>
      <c r="AB163" s="1366"/>
      <c r="AC163" s="1366"/>
      <c r="AD163" s="1366"/>
      <c r="AE163" s="1366"/>
      <c r="AF163" s="1366"/>
      <c r="AG163" s="1632"/>
      <c r="AH163" s="622"/>
      <c r="AI163" s="622"/>
      <c r="AJ163" s="622"/>
      <c r="AK163" s="622"/>
      <c r="AL163" s="1641">
        <v>11</v>
      </c>
    </row>
    <row r="164" s="1641" customFormat="1" ht="11.5" customHeight="1">
      <c r="A164" s="987"/>
      <c r="B164" s="987"/>
      <c r="C164" s="987"/>
      <c r="D164" s="987"/>
      <c r="E164" s="987"/>
      <c r="F164" s="1636"/>
      <c r="G164" s="1636"/>
      <c r="H164" s="351"/>
      <c r="N164" s="1641"/>
      <c r="O164" s="1366"/>
      <c r="Q164" s="1366"/>
      <c r="R164" s="1636"/>
      <c r="S164" s="1636"/>
      <c r="T164" s="1366"/>
      <c r="U164" s="1366"/>
      <c r="V164" s="1366"/>
      <c r="W164" s="1366"/>
      <c r="X164" s="1636"/>
      <c r="Y164" s="1366"/>
      <c r="Z164" s="1366"/>
      <c r="AA164" s="544"/>
      <c r="AB164" s="1366"/>
      <c r="AC164" s="1366"/>
      <c r="AD164" s="1366"/>
      <c r="AE164" s="1366"/>
      <c r="AF164" s="1366"/>
      <c r="AG164" s="1632"/>
      <c r="AH164" s="622"/>
      <c r="AI164" s="622"/>
      <c r="AJ164" s="622"/>
      <c r="AK164" s="622"/>
      <c r="AL164" s="1641">
        <v>11</v>
      </c>
    </row>
    <row r="165" s="1641" customFormat="1" ht="11.5" customHeight="1">
      <c r="A165" s="987"/>
      <c r="B165" s="987"/>
      <c r="C165" s="987"/>
      <c r="D165" s="987"/>
      <c r="E165" s="987"/>
      <c r="F165" s="1636"/>
      <c r="G165" s="1636"/>
      <c r="H165" s="351"/>
      <c r="N165" s="1641"/>
      <c r="O165" s="1366"/>
      <c r="Q165" s="1366"/>
      <c r="R165" s="1636"/>
      <c r="S165" s="1636"/>
      <c r="T165" s="1366"/>
      <c r="U165" s="1366"/>
      <c r="V165" s="1366"/>
      <c r="W165" s="1366"/>
      <c r="X165" s="1636"/>
      <c r="Y165" s="1366"/>
      <c r="Z165" s="1366"/>
      <c r="AA165" s="544"/>
      <c r="AB165" s="1366"/>
      <c r="AC165" s="1366"/>
      <c r="AD165" s="1366"/>
      <c r="AE165" s="1366"/>
      <c r="AF165" s="1366"/>
      <c r="AG165" s="1632"/>
      <c r="AH165" s="622"/>
      <c r="AI165" s="622"/>
      <c r="AJ165" s="622"/>
      <c r="AK165" s="622"/>
      <c r="AL165" s="1641">
        <v>11</v>
      </c>
    </row>
    <row r="166" s="1641" customFormat="1" ht="11.5" customHeight="1">
      <c r="A166" s="987"/>
      <c r="B166" s="987"/>
      <c r="C166" s="987"/>
      <c r="D166" s="987"/>
      <c r="E166" s="987"/>
      <c r="F166" s="1636"/>
      <c r="G166" s="1636"/>
      <c r="H166" s="351"/>
      <c r="N166" s="1641"/>
      <c r="O166" s="1366"/>
      <c r="Q166" s="1366"/>
      <c r="R166" s="1636"/>
      <c r="S166" s="1636"/>
      <c r="T166" s="1366"/>
      <c r="U166" s="1366"/>
      <c r="V166" s="1366"/>
      <c r="W166" s="1366"/>
      <c r="X166" s="1636"/>
      <c r="Y166" s="1366"/>
      <c r="Z166" s="1366"/>
      <c r="AA166" s="544"/>
      <c r="AB166" s="1366"/>
      <c r="AC166" s="1366"/>
      <c r="AD166" s="1366"/>
      <c r="AE166" s="1366"/>
      <c r="AF166" s="1366"/>
      <c r="AG166" s="1632"/>
      <c r="AH166" s="622"/>
      <c r="AI166" s="622"/>
      <c r="AJ166" s="622"/>
      <c r="AK166" s="622"/>
      <c r="AL166" s="1641">
        <v>11</v>
      </c>
    </row>
    <row r="167" s="1641" customFormat="1" ht="11.5" customHeight="1">
      <c r="A167" s="987"/>
      <c r="B167" s="987"/>
      <c r="C167" s="987"/>
      <c r="D167" s="987"/>
      <c r="E167" s="987"/>
      <c r="F167" s="1636"/>
      <c r="G167" s="1636"/>
      <c r="H167" s="351"/>
      <c r="N167" s="1641"/>
      <c r="O167" s="1366"/>
      <c r="Q167" s="1366"/>
      <c r="R167" s="1636"/>
      <c r="S167" s="1636"/>
      <c r="T167" s="1366"/>
      <c r="U167" s="1366"/>
      <c r="V167" s="1366"/>
      <c r="W167" s="1366"/>
      <c r="X167" s="1636"/>
      <c r="Y167" s="1366"/>
      <c r="Z167" s="1366"/>
      <c r="AA167" s="544"/>
      <c r="AB167" s="1366"/>
      <c r="AC167" s="1366"/>
      <c r="AD167" s="1366"/>
      <c r="AE167" s="1366"/>
      <c r="AF167" s="1366"/>
      <c r="AG167" s="1632"/>
      <c r="AH167" s="622"/>
      <c r="AI167" s="622"/>
      <c r="AJ167" s="622"/>
      <c r="AK167" s="622"/>
      <c r="AL167" s="1641">
        <v>11</v>
      </c>
    </row>
    <row r="168" s="1641" customFormat="1" ht="11.5" customHeight="1">
      <c r="A168" s="987"/>
      <c r="B168" s="987"/>
      <c r="C168" s="987"/>
      <c r="D168" s="987"/>
      <c r="E168" s="987"/>
      <c r="F168" s="1636"/>
      <c r="G168" s="1636"/>
      <c r="H168" s="351"/>
      <c r="N168" s="1641"/>
      <c r="O168" s="1366"/>
      <c r="Q168" s="1366"/>
      <c r="R168" s="1636"/>
      <c r="S168" s="1636"/>
      <c r="T168" s="1366"/>
      <c r="U168" s="1366"/>
      <c r="V168" s="1366"/>
      <c r="W168" s="1366"/>
      <c r="X168" s="1636"/>
      <c r="Y168" s="1366"/>
      <c r="Z168" s="1366"/>
      <c r="AA168" s="544"/>
      <c r="AB168" s="1366"/>
      <c r="AC168" s="1366"/>
      <c r="AD168" s="1366"/>
      <c r="AE168" s="1366"/>
      <c r="AF168" s="1366"/>
      <c r="AG168" s="1632"/>
      <c r="AH168" s="622"/>
      <c r="AI168" s="622"/>
      <c r="AJ168" s="622"/>
      <c r="AK168" s="622"/>
      <c r="AL168" s="1641">
        <v>11</v>
      </c>
    </row>
    <row r="169" s="1641" customFormat="1" ht="11.5" customHeight="1">
      <c r="A169" s="987"/>
      <c r="B169" s="987"/>
      <c r="C169" s="987"/>
      <c r="D169" s="987"/>
      <c r="E169" s="987"/>
      <c r="F169" s="1636"/>
      <c r="G169" s="1636"/>
      <c r="H169" s="351"/>
      <c r="N169" s="1641"/>
      <c r="O169" s="1366"/>
      <c r="Q169" s="1366"/>
      <c r="R169" s="1636"/>
      <c r="S169" s="1636"/>
      <c r="T169" s="1366"/>
      <c r="U169" s="1366"/>
      <c r="V169" s="1366"/>
      <c r="W169" s="1366"/>
      <c r="X169" s="1636"/>
      <c r="Y169" s="1366"/>
      <c r="Z169" s="1366"/>
      <c r="AA169" s="544"/>
      <c r="AB169" s="1366"/>
      <c r="AC169" s="1366"/>
      <c r="AD169" s="1366"/>
      <c r="AE169" s="1366"/>
      <c r="AF169" s="1366"/>
      <c r="AG169" s="1632"/>
      <c r="AH169" s="622"/>
      <c r="AI169" s="622"/>
      <c r="AJ169" s="622"/>
      <c r="AK169" s="622"/>
      <c r="AL169" s="1641">
        <v>11</v>
      </c>
    </row>
    <row r="170" s="1641" customFormat="1" ht="11.5" customHeight="1">
      <c r="A170" s="987"/>
      <c r="B170" s="987"/>
      <c r="C170" s="987"/>
      <c r="D170" s="987"/>
      <c r="E170" s="987"/>
      <c r="F170" s="1636"/>
      <c r="G170" s="1636"/>
      <c r="H170" s="351"/>
      <c r="N170" s="1641"/>
      <c r="O170" s="1366"/>
      <c r="Q170" s="1366"/>
      <c r="R170" s="1636"/>
      <c r="S170" s="1636"/>
      <c r="T170" s="1366"/>
      <c r="U170" s="1366"/>
      <c r="V170" s="1366"/>
      <c r="W170" s="1366"/>
      <c r="X170" s="1636"/>
      <c r="Y170" s="1366"/>
      <c r="Z170" s="1366"/>
      <c r="AA170" s="544"/>
      <c r="AB170" s="1366"/>
      <c r="AC170" s="1366"/>
      <c r="AD170" s="1366"/>
      <c r="AE170" s="1366"/>
      <c r="AF170" s="1366"/>
      <c r="AG170" s="1632"/>
      <c r="AH170" s="622"/>
      <c r="AI170" s="622"/>
      <c r="AJ170" s="622"/>
      <c r="AK170" s="622"/>
      <c r="AL170" s="1641">
        <v>11</v>
      </c>
    </row>
    <row r="171" s="1641" customFormat="1" ht="11.5" customHeight="1">
      <c r="A171" s="987"/>
      <c r="B171" s="987"/>
      <c r="C171" s="987"/>
      <c r="D171" s="987"/>
      <c r="E171" s="987"/>
      <c r="F171" s="1636"/>
      <c r="G171" s="1636"/>
      <c r="H171" s="351"/>
      <c r="N171" s="1641"/>
      <c r="O171" s="1366"/>
      <c r="Q171" s="1366"/>
      <c r="R171" s="1636"/>
      <c r="S171" s="1636"/>
      <c r="T171" s="1366"/>
      <c r="U171" s="1366"/>
      <c r="V171" s="1366"/>
      <c r="W171" s="1366"/>
      <c r="X171" s="1636"/>
      <c r="Y171" s="1366"/>
      <c r="Z171" s="1366"/>
      <c r="AA171" s="544"/>
      <c r="AB171" s="1366"/>
      <c r="AC171" s="1366"/>
      <c r="AD171" s="1366"/>
      <c r="AE171" s="1366"/>
      <c r="AF171" s="1366"/>
      <c r="AG171" s="1632"/>
      <c r="AH171" s="622"/>
      <c r="AI171" s="622"/>
      <c r="AJ171" s="622"/>
      <c r="AK171" s="622"/>
      <c r="AL171" s="1641">
        <v>11</v>
      </c>
    </row>
    <row r="172" s="1641" customFormat="1" ht="11.5" customHeight="1">
      <c r="A172" s="987"/>
      <c r="B172" s="987"/>
      <c r="C172" s="987"/>
      <c r="D172" s="987"/>
      <c r="E172" s="987"/>
      <c r="F172" s="1636"/>
      <c r="G172" s="1636"/>
      <c r="H172" s="351"/>
      <c r="N172" s="1641"/>
      <c r="O172" s="1366"/>
      <c r="Q172" s="1366"/>
      <c r="R172" s="1636"/>
      <c r="S172" s="1636"/>
      <c r="T172" s="1366"/>
      <c r="U172" s="1366"/>
      <c r="V172" s="1366"/>
      <c r="W172" s="1366"/>
      <c r="X172" s="1636"/>
      <c r="Y172" s="1366"/>
      <c r="Z172" s="1366"/>
      <c r="AA172" s="544"/>
      <c r="AB172" s="1366"/>
      <c r="AC172" s="1366"/>
      <c r="AD172" s="1366"/>
      <c r="AE172" s="1366"/>
      <c r="AF172" s="1366"/>
      <c r="AG172" s="1632"/>
      <c r="AH172" s="622"/>
      <c r="AI172" s="622"/>
      <c r="AJ172" s="622"/>
      <c r="AK172" s="622"/>
      <c r="AL172" s="1641">
        <v>11</v>
      </c>
    </row>
    <row r="173" s="1641" customFormat="1" ht="11.5" customHeight="1">
      <c r="A173" s="987"/>
      <c r="B173" s="987"/>
      <c r="C173" s="987"/>
      <c r="D173" s="987"/>
      <c r="E173" s="987"/>
      <c r="F173" s="1636"/>
      <c r="G173" s="1636"/>
      <c r="H173" s="351"/>
      <c r="N173" s="1641"/>
      <c r="O173" s="1366"/>
      <c r="Q173" s="1366"/>
      <c r="R173" s="1636"/>
      <c r="S173" s="1636"/>
      <c r="T173" s="1366"/>
      <c r="U173" s="1366"/>
      <c r="V173" s="1366"/>
      <c r="W173" s="1366"/>
      <c r="X173" s="1636"/>
      <c r="Y173" s="1366"/>
      <c r="Z173" s="1366"/>
      <c r="AA173" s="544"/>
      <c r="AB173" s="1366"/>
      <c r="AC173" s="1366"/>
      <c r="AD173" s="1366"/>
      <c r="AE173" s="1366"/>
      <c r="AF173" s="1366"/>
      <c r="AG173" s="1632"/>
      <c r="AH173" s="622"/>
      <c r="AI173" s="622"/>
      <c r="AJ173" s="622"/>
      <c r="AK173" s="622"/>
      <c r="AL173" s="1641">
        <v>11</v>
      </c>
    </row>
    <row r="174" s="1641" customFormat="1" ht="11.5" customHeight="1">
      <c r="A174" s="987"/>
      <c r="B174" s="987"/>
      <c r="C174" s="987"/>
      <c r="D174" s="987"/>
      <c r="E174" s="987"/>
      <c r="F174" s="1636"/>
      <c r="G174" s="1636"/>
      <c r="H174" s="351"/>
      <c r="N174" s="1641"/>
      <c r="O174" s="1366"/>
      <c r="Q174" s="1366"/>
      <c r="R174" s="1636"/>
      <c r="S174" s="1636"/>
      <c r="T174" s="1366"/>
      <c r="U174" s="1366"/>
      <c r="V174" s="1366"/>
      <c r="W174" s="1366"/>
      <c r="X174" s="1636"/>
      <c r="Y174" s="1366"/>
      <c r="Z174" s="1366"/>
      <c r="AA174" s="544"/>
      <c r="AB174" s="1366"/>
      <c r="AC174" s="1366"/>
      <c r="AD174" s="1366"/>
      <c r="AE174" s="1366"/>
      <c r="AF174" s="1366"/>
      <c r="AG174" s="1632"/>
      <c r="AH174" s="622"/>
      <c r="AI174" s="622"/>
      <c r="AJ174" s="622"/>
      <c r="AK174" s="622"/>
      <c r="AL174" s="1641">
        <v>11</v>
      </c>
    </row>
    <row r="175" s="1641" customFormat="1" ht="11.5" customHeight="1">
      <c r="A175" s="987"/>
      <c r="B175" s="987"/>
      <c r="C175" s="987"/>
      <c r="D175" s="987"/>
      <c r="E175" s="987"/>
      <c r="F175" s="1636"/>
      <c r="G175" s="1636"/>
      <c r="H175" s="351"/>
      <c r="N175" s="1641"/>
      <c r="O175" s="1366"/>
      <c r="Q175" s="1366"/>
      <c r="R175" s="1636"/>
      <c r="S175" s="1636"/>
      <c r="T175" s="1366"/>
      <c r="U175" s="1366"/>
      <c r="V175" s="1366"/>
      <c r="W175" s="1366"/>
      <c r="X175" s="1636"/>
      <c r="Y175" s="1366"/>
      <c r="Z175" s="1366"/>
      <c r="AA175" s="544"/>
      <c r="AB175" s="1366"/>
      <c r="AC175" s="1366"/>
      <c r="AD175" s="1366"/>
      <c r="AE175" s="1366"/>
      <c r="AF175" s="1366"/>
      <c r="AG175" s="1632"/>
      <c r="AH175" s="622"/>
      <c r="AI175" s="622"/>
      <c r="AJ175" s="622"/>
      <c r="AK175" s="622"/>
      <c r="AL175" s="1641">
        <v>11</v>
      </c>
    </row>
    <row r="176" s="1641" customFormat="1" ht="11.5" customHeight="1">
      <c r="A176" s="987"/>
      <c r="B176" s="987"/>
      <c r="C176" s="987"/>
      <c r="D176" s="987"/>
      <c r="E176" s="987"/>
      <c r="F176" s="1636"/>
      <c r="G176" s="1636"/>
      <c r="H176" s="351"/>
      <c r="N176" s="1641"/>
      <c r="O176" s="1366"/>
      <c r="Q176" s="1366"/>
      <c r="R176" s="1636"/>
      <c r="S176" s="1636"/>
      <c r="T176" s="1366"/>
      <c r="U176" s="1366"/>
      <c r="V176" s="1366"/>
      <c r="W176" s="1366"/>
      <c r="X176" s="1636"/>
      <c r="Y176" s="1366"/>
      <c r="Z176" s="1366"/>
      <c r="AA176" s="544"/>
      <c r="AB176" s="1366"/>
      <c r="AC176" s="1366"/>
      <c r="AD176" s="1366"/>
      <c r="AE176" s="1366"/>
      <c r="AF176" s="1366"/>
      <c r="AG176" s="1632"/>
      <c r="AH176" s="622"/>
      <c r="AI176" s="622"/>
      <c r="AJ176" s="622"/>
      <c r="AK176" s="622"/>
      <c r="AL176" s="1641">
        <v>11</v>
      </c>
    </row>
    <row r="177" s="1641" customFormat="1" ht="11.5" customHeight="1">
      <c r="A177" s="987"/>
      <c r="B177" s="987"/>
      <c r="C177" s="987"/>
      <c r="D177" s="987"/>
      <c r="E177" s="987"/>
      <c r="F177" s="1636"/>
      <c r="G177" s="1636"/>
      <c r="H177" s="351"/>
      <c r="N177" s="1641"/>
      <c r="O177" s="1366"/>
      <c r="Q177" s="1366"/>
      <c r="R177" s="1636"/>
      <c r="S177" s="1636"/>
      <c r="T177" s="1366"/>
      <c r="U177" s="1366"/>
      <c r="V177" s="1366"/>
      <c r="W177" s="1366"/>
      <c r="X177" s="1636"/>
      <c r="Y177" s="1366"/>
      <c r="Z177" s="1366"/>
      <c r="AA177" s="544"/>
      <c r="AB177" s="1366"/>
      <c r="AC177" s="1366"/>
      <c r="AD177" s="1366"/>
      <c r="AE177" s="1366"/>
      <c r="AF177" s="1366"/>
      <c r="AG177" s="1632"/>
      <c r="AH177" s="622"/>
      <c r="AI177" s="622"/>
      <c r="AJ177" s="622"/>
      <c r="AK177" s="622"/>
      <c r="AL177" s="1641">
        <v>11</v>
      </c>
    </row>
    <row r="178" s="1641" customFormat="1" ht="11.5" customHeight="1">
      <c r="A178" s="987"/>
      <c r="B178" s="987"/>
      <c r="C178" s="987"/>
      <c r="D178" s="987"/>
      <c r="E178" s="987"/>
      <c r="F178" s="1636"/>
      <c r="G178" s="1636"/>
      <c r="H178" s="351"/>
      <c r="N178" s="1641"/>
      <c r="O178" s="1366"/>
      <c r="Q178" s="1366"/>
      <c r="R178" s="1636"/>
      <c r="S178" s="1636"/>
      <c r="T178" s="1366"/>
      <c r="U178" s="1366"/>
      <c r="V178" s="1366"/>
      <c r="W178" s="1366"/>
      <c r="X178" s="1636"/>
      <c r="Y178" s="1366"/>
      <c r="Z178" s="1366"/>
      <c r="AA178" s="544"/>
      <c r="AB178" s="1366"/>
      <c r="AC178" s="1366"/>
      <c r="AD178" s="1366"/>
      <c r="AE178" s="1366"/>
      <c r="AF178" s="1366"/>
      <c r="AG178" s="1632"/>
      <c r="AH178" s="622"/>
      <c r="AI178" s="622"/>
      <c r="AJ178" s="622"/>
      <c r="AK178" s="622"/>
      <c r="AL178" s="1641">
        <v>11</v>
      </c>
    </row>
    <row r="179" s="1641" customFormat="1" ht="11.5" customHeight="1">
      <c r="A179" s="987"/>
      <c r="B179" s="987"/>
      <c r="C179" s="987"/>
      <c r="D179" s="987"/>
      <c r="E179" s="987"/>
      <c r="F179" s="1636"/>
      <c r="G179" s="1636"/>
      <c r="H179" s="351"/>
      <c r="N179" s="1641"/>
      <c r="O179" s="1366"/>
      <c r="Q179" s="1366"/>
      <c r="R179" s="1636"/>
      <c r="S179" s="1636"/>
      <c r="T179" s="1366"/>
      <c r="U179" s="1366"/>
      <c r="V179" s="1366"/>
      <c r="W179" s="1366"/>
      <c r="X179" s="1636"/>
      <c r="Y179" s="1366"/>
      <c r="Z179" s="1366"/>
      <c r="AA179" s="544"/>
      <c r="AB179" s="1366"/>
      <c r="AC179" s="1366"/>
      <c r="AD179" s="1366"/>
      <c r="AE179" s="1366"/>
      <c r="AF179" s="1366"/>
      <c r="AG179" s="1632"/>
      <c r="AH179" s="622"/>
      <c r="AI179" s="622"/>
      <c r="AJ179" s="622"/>
      <c r="AK179" s="622"/>
      <c r="AL179" s="1641">
        <v>11</v>
      </c>
    </row>
    <row r="180" s="1641" customFormat="1" ht="11.5" customHeight="1">
      <c r="A180" s="987"/>
      <c r="B180" s="987"/>
      <c r="C180" s="987"/>
      <c r="D180" s="987"/>
      <c r="E180" s="987"/>
      <c r="F180" s="1636"/>
      <c r="G180" s="1636"/>
      <c r="H180" s="351"/>
      <c r="N180" s="1641"/>
      <c r="O180" s="1366"/>
      <c r="Q180" s="1366"/>
      <c r="R180" s="1636"/>
      <c r="S180" s="1636"/>
      <c r="T180" s="1366"/>
      <c r="U180" s="1366"/>
      <c r="V180" s="1366"/>
      <c r="W180" s="1366"/>
      <c r="X180" s="1636"/>
      <c r="Y180" s="1366"/>
      <c r="Z180" s="1366"/>
      <c r="AA180" s="544"/>
      <c r="AB180" s="1366"/>
      <c r="AC180" s="1366"/>
      <c r="AD180" s="1366"/>
      <c r="AE180" s="1366"/>
      <c r="AF180" s="1366"/>
      <c r="AG180" s="1632"/>
      <c r="AH180" s="622"/>
      <c r="AI180" s="622"/>
      <c r="AJ180" s="622"/>
      <c r="AK180" s="622"/>
      <c r="AL180" s="1641">
        <v>11</v>
      </c>
    </row>
    <row r="181" s="1641" customFormat="1" ht="11.5" customHeight="1">
      <c r="A181" s="987"/>
      <c r="B181" s="987"/>
      <c r="C181" s="987"/>
      <c r="D181" s="987"/>
      <c r="E181" s="987"/>
      <c r="F181" s="1636"/>
      <c r="G181" s="1636"/>
      <c r="H181" s="351"/>
      <c r="N181" s="1641"/>
      <c r="O181" s="1366"/>
      <c r="Q181" s="1366"/>
      <c r="R181" s="1636"/>
      <c r="S181" s="1636"/>
      <c r="T181" s="1366"/>
      <c r="U181" s="1366"/>
      <c r="V181" s="1366"/>
      <c r="W181" s="1366"/>
      <c r="X181" s="1636"/>
      <c r="Y181" s="1366"/>
      <c r="Z181" s="1366"/>
      <c r="AA181" s="544"/>
      <c r="AB181" s="1366"/>
      <c r="AC181" s="1366"/>
      <c r="AD181" s="1366"/>
      <c r="AE181" s="1366"/>
      <c r="AF181" s="1366"/>
      <c r="AG181" s="1632"/>
      <c r="AH181" s="622"/>
      <c r="AI181" s="622"/>
      <c r="AJ181" s="622"/>
      <c r="AK181" s="622"/>
      <c r="AL181" s="1641">
        <v>11</v>
      </c>
    </row>
    <row r="182" s="1641" customFormat="1" ht="11.5" customHeight="1">
      <c r="A182" s="987"/>
      <c r="B182" s="987"/>
      <c r="C182" s="987"/>
      <c r="D182" s="987"/>
      <c r="E182" s="987"/>
      <c r="F182" s="1636"/>
      <c r="G182" s="1636"/>
      <c r="H182" s="351"/>
      <c r="N182" s="1641"/>
      <c r="O182" s="1366"/>
      <c r="Q182" s="1366"/>
      <c r="R182" s="1636"/>
      <c r="S182" s="1636"/>
      <c r="T182" s="1366"/>
      <c r="U182" s="1366"/>
      <c r="V182" s="1366"/>
      <c r="W182" s="1366"/>
      <c r="X182" s="1636"/>
      <c r="Y182" s="1366"/>
      <c r="Z182" s="1366"/>
      <c r="AA182" s="544"/>
      <c r="AB182" s="1366"/>
      <c r="AC182" s="1366"/>
      <c r="AD182" s="1366"/>
      <c r="AE182" s="1366"/>
      <c r="AF182" s="1366"/>
      <c r="AG182" s="1632"/>
      <c r="AH182" s="622"/>
      <c r="AI182" s="622"/>
      <c r="AJ182" s="622"/>
      <c r="AK182" s="622"/>
      <c r="AL182" s="1641">
        <v>11</v>
      </c>
    </row>
    <row r="183" s="1641" customFormat="1" ht="11.5" customHeight="1">
      <c r="A183" s="987"/>
      <c r="B183" s="987"/>
      <c r="C183" s="987"/>
      <c r="D183" s="987"/>
      <c r="E183" s="987"/>
      <c r="F183" s="1636"/>
      <c r="G183" s="1636"/>
      <c r="H183" s="351"/>
      <c r="N183" s="1641"/>
      <c r="O183" s="1366"/>
      <c r="Q183" s="1366"/>
      <c r="R183" s="1636"/>
      <c r="S183" s="1636"/>
      <c r="T183" s="1366"/>
      <c r="U183" s="1366"/>
      <c r="V183" s="1366"/>
      <c r="W183" s="1366"/>
      <c r="X183" s="1636"/>
      <c r="Y183" s="1366"/>
      <c r="Z183" s="1366"/>
      <c r="AA183" s="544"/>
      <c r="AB183" s="1366"/>
      <c r="AC183" s="1366"/>
      <c r="AD183" s="1366"/>
      <c r="AE183" s="1366"/>
      <c r="AF183" s="1366"/>
      <c r="AG183" s="1632"/>
      <c r="AH183" s="622"/>
      <c r="AI183" s="622"/>
      <c r="AJ183" s="622"/>
      <c r="AK183" s="622"/>
      <c r="AL183" s="1641">
        <v>11</v>
      </c>
    </row>
    <row r="184" s="1641" customFormat="1" ht="11.5" customHeight="1">
      <c r="A184" s="987"/>
      <c r="B184" s="987"/>
      <c r="C184" s="987"/>
      <c r="D184" s="987"/>
      <c r="E184" s="987"/>
      <c r="F184" s="1636"/>
      <c r="G184" s="1636"/>
      <c r="H184" s="351"/>
      <c r="N184" s="1641"/>
      <c r="O184" s="1366"/>
      <c r="Q184" s="1366"/>
      <c r="R184" s="1636"/>
      <c r="S184" s="1636"/>
      <c r="T184" s="1366"/>
      <c r="U184" s="1366"/>
      <c r="V184" s="1366"/>
      <c r="W184" s="1366"/>
      <c r="X184" s="1636"/>
      <c r="Y184" s="1366"/>
      <c r="Z184" s="1366"/>
      <c r="AA184" s="544"/>
      <c r="AB184" s="1366"/>
      <c r="AC184" s="1366"/>
      <c r="AD184" s="1366"/>
      <c r="AE184" s="1366"/>
      <c r="AF184" s="1366"/>
      <c r="AG184" s="1632"/>
      <c r="AH184" s="622"/>
      <c r="AI184" s="622"/>
      <c r="AJ184" s="622"/>
      <c r="AK184" s="622"/>
      <c r="AL184" s="1641">
        <v>11</v>
      </c>
    </row>
    <row r="185" s="1641" customFormat="1" ht="11.5" customHeight="1">
      <c r="A185" s="987"/>
      <c r="B185" s="987"/>
      <c r="C185" s="987"/>
      <c r="D185" s="987"/>
      <c r="E185" s="987"/>
      <c r="F185" s="1636"/>
      <c r="G185" s="1636"/>
      <c r="H185" s="351"/>
      <c r="N185" s="1641"/>
      <c r="O185" s="1366"/>
      <c r="Q185" s="1366"/>
      <c r="R185" s="1636"/>
      <c r="S185" s="1636"/>
      <c r="T185" s="1366"/>
      <c r="U185" s="1366"/>
      <c r="V185" s="1366"/>
      <c r="W185" s="1366"/>
      <c r="X185" s="1636"/>
      <c r="Y185" s="1366"/>
      <c r="Z185" s="1366"/>
      <c r="AA185" s="544"/>
      <c r="AB185" s="1366"/>
      <c r="AC185" s="1366"/>
      <c r="AD185" s="1366"/>
      <c r="AE185" s="1366"/>
      <c r="AF185" s="1366"/>
      <c r="AG185" s="1632"/>
      <c r="AH185" s="622"/>
      <c r="AI185" s="622"/>
      <c r="AJ185" s="622"/>
      <c r="AK185" s="622"/>
      <c r="AL185" s="1641">
        <v>11</v>
      </c>
    </row>
    <row r="186" s="1641" customFormat="1" ht="11.5" customHeight="1">
      <c r="A186" s="987"/>
      <c r="B186" s="987"/>
      <c r="C186" s="987"/>
      <c r="D186" s="987"/>
      <c r="E186" s="987"/>
      <c r="F186" s="1636"/>
      <c r="G186" s="1636"/>
      <c r="H186" s="351"/>
      <c r="N186" s="1641"/>
      <c r="O186" s="1366"/>
      <c r="Q186" s="1366"/>
      <c r="R186" s="1636"/>
      <c r="S186" s="1636"/>
      <c r="T186" s="1366"/>
      <c r="U186" s="1366"/>
      <c r="V186" s="1366"/>
      <c r="W186" s="1366"/>
      <c r="X186" s="1636"/>
      <c r="Y186" s="1366"/>
      <c r="Z186" s="1366"/>
      <c r="AA186" s="544"/>
      <c r="AB186" s="1366"/>
      <c r="AC186" s="1366"/>
      <c r="AD186" s="1366"/>
      <c r="AE186" s="1366"/>
      <c r="AF186" s="1366"/>
      <c r="AG186" s="1632"/>
      <c r="AH186" s="622"/>
      <c r="AI186" s="622"/>
      <c r="AJ186" s="622"/>
      <c r="AK186" s="622"/>
      <c r="AL186" s="1641">
        <v>11</v>
      </c>
    </row>
    <row r="187" s="1641" customFormat="1" ht="11.5" customHeight="1">
      <c r="A187" s="987"/>
      <c r="B187" s="987"/>
      <c r="C187" s="987"/>
      <c r="D187" s="987"/>
      <c r="E187" s="987"/>
      <c r="F187" s="1636"/>
      <c r="G187" s="1636"/>
      <c r="H187" s="351"/>
      <c r="N187" s="1641"/>
      <c r="O187" s="1366"/>
      <c r="Q187" s="1366"/>
      <c r="R187" s="1636"/>
      <c r="S187" s="1636"/>
      <c r="T187" s="1366"/>
      <c r="U187" s="1366"/>
      <c r="V187" s="1366"/>
      <c r="W187" s="1366"/>
      <c r="X187" s="1636"/>
      <c r="Y187" s="1366"/>
      <c r="Z187" s="1366"/>
      <c r="AA187" s="544"/>
      <c r="AB187" s="1366"/>
      <c r="AC187" s="1366"/>
      <c r="AD187" s="1366"/>
      <c r="AE187" s="1366"/>
      <c r="AF187" s="1366"/>
      <c r="AG187" s="1632"/>
      <c r="AH187" s="622"/>
      <c r="AI187" s="622"/>
      <c r="AJ187" s="622"/>
      <c r="AK187" s="622"/>
      <c r="AL187" s="1641">
        <v>11</v>
      </c>
    </row>
    <row r="188" s="1641" customFormat="1" ht="11.5" customHeight="1">
      <c r="A188" s="987"/>
      <c r="B188" s="987"/>
      <c r="C188" s="987"/>
      <c r="D188" s="987"/>
      <c r="E188" s="987"/>
      <c r="F188" s="1636"/>
      <c r="G188" s="1636"/>
      <c r="H188" s="351"/>
      <c r="N188" s="1641"/>
      <c r="O188" s="1366"/>
      <c r="Q188" s="1366"/>
      <c r="R188" s="1636"/>
      <c r="S188" s="1636"/>
      <c r="T188" s="1366"/>
      <c r="U188" s="1366"/>
      <c r="V188" s="1366"/>
      <c r="W188" s="1366"/>
      <c r="X188" s="1636"/>
      <c r="Y188" s="1366"/>
      <c r="Z188" s="1366"/>
      <c r="AA188" s="544"/>
      <c r="AB188" s="1366"/>
      <c r="AC188" s="1366"/>
      <c r="AD188" s="1366"/>
      <c r="AE188" s="1366"/>
      <c r="AF188" s="1366"/>
      <c r="AG188" s="1632"/>
      <c r="AH188" s="622"/>
      <c r="AI188" s="622"/>
      <c r="AJ188" s="622"/>
      <c r="AK188" s="622"/>
      <c r="AL188" s="1641">
        <v>11</v>
      </c>
    </row>
    <row r="189" s="1641" customFormat="1" ht="11.5" customHeight="1">
      <c r="A189" s="987"/>
      <c r="B189" s="987"/>
      <c r="C189" s="987"/>
      <c r="D189" s="987"/>
      <c r="E189" s="987"/>
      <c r="F189" s="1636"/>
      <c r="G189" s="1636"/>
      <c r="H189" s="351"/>
      <c r="N189" s="1641"/>
      <c r="O189" s="1366"/>
      <c r="Q189" s="1366"/>
      <c r="R189" s="1636"/>
      <c r="S189" s="1636"/>
      <c r="T189" s="1366"/>
      <c r="U189" s="1366"/>
      <c r="V189" s="1366"/>
      <c r="W189" s="1366"/>
      <c r="X189" s="1636"/>
      <c r="Y189" s="1366"/>
      <c r="Z189" s="1366"/>
      <c r="AA189" s="544"/>
      <c r="AB189" s="1366"/>
      <c r="AC189" s="1366"/>
      <c r="AD189" s="1366"/>
      <c r="AE189" s="1366"/>
      <c r="AF189" s="1366"/>
      <c r="AG189" s="1632"/>
      <c r="AH189" s="622"/>
      <c r="AI189" s="622"/>
      <c r="AJ189" s="622"/>
      <c r="AK189" s="622"/>
      <c r="AL189" s="1641">
        <v>11</v>
      </c>
    </row>
    <row r="190" ht="11.5" customHeight="1">
      <c r="N190" s="1635"/>
      <c r="AL190" s="1631">
        <v>11</v>
      </c>
    </row>
    <row r="191" ht="11.5" customHeight="1">
      <c r="N191" s="1635"/>
      <c r="AL191" s="1631">
        <v>11</v>
      </c>
    </row>
    <row r="192" ht="11.5" customHeight="1">
      <c r="N192" s="1635"/>
      <c r="AL192" s="1631">
        <v>11</v>
      </c>
    </row>
    <row r="193" ht="11.5" customHeight="1">
      <c r="A193" s="990"/>
      <c r="B193" s="990"/>
      <c r="C193" s="990"/>
      <c r="D193" s="990"/>
      <c r="E193" s="990"/>
      <c r="F193" s="1631"/>
      <c r="H193" s="1631"/>
      <c r="N193" s="1635"/>
      <c r="O193" s="1631"/>
      <c r="Q193" s="1631"/>
      <c r="T193" s="1631"/>
      <c r="U193" s="1631"/>
      <c r="V193" s="1631"/>
      <c r="W193" s="1631"/>
      <c r="Y193" s="1631"/>
      <c r="Z193" s="1631"/>
      <c r="AA193" s="1631"/>
      <c r="AB193" s="1631"/>
      <c r="AC193" s="1631"/>
      <c r="AD193" s="1631"/>
      <c r="AE193" s="1631"/>
      <c r="AF193" s="1631"/>
      <c r="AG193" s="1631"/>
      <c r="AH193" s="1631"/>
      <c r="AI193" s="1631"/>
      <c r="AJ193" s="1631"/>
      <c r="AK193" s="1631"/>
      <c r="AL193" s="1631">
        <v>11</v>
      </c>
    </row>
    <row r="194" ht="11.5" customHeight="1">
      <c r="A194" s="990"/>
      <c r="B194" s="990"/>
      <c r="C194" s="990"/>
      <c r="D194" s="990"/>
      <c r="E194" s="990"/>
      <c r="F194" s="1631"/>
      <c r="H194" s="1631"/>
      <c r="N194" s="1635"/>
      <c r="O194" s="1631"/>
      <c r="Q194" s="1631"/>
      <c r="T194" s="1631"/>
      <c r="U194" s="1631"/>
      <c r="V194" s="1631"/>
      <c r="W194" s="1631"/>
      <c r="Y194" s="1631"/>
      <c r="Z194" s="1631"/>
      <c r="AA194" s="1631"/>
      <c r="AB194" s="1631"/>
      <c r="AC194" s="1631"/>
      <c r="AD194" s="1631"/>
      <c r="AE194" s="1631"/>
      <c r="AF194" s="1631"/>
      <c r="AG194" s="1631"/>
      <c r="AH194" s="1631"/>
      <c r="AI194" s="1631"/>
      <c r="AJ194" s="1631"/>
      <c r="AK194" s="1631"/>
      <c r="AL194" s="1631">
        <v>11</v>
      </c>
    </row>
    <row r="195" ht="11.5" customHeight="1">
      <c r="A195" s="990"/>
      <c r="B195" s="990"/>
      <c r="C195" s="990"/>
      <c r="D195" s="990"/>
      <c r="E195" s="990"/>
      <c r="F195" s="1631"/>
      <c r="H195" s="1631"/>
      <c r="N195" s="1635"/>
      <c r="O195" s="1631"/>
      <c r="Q195" s="1631"/>
      <c r="T195" s="1631"/>
      <c r="U195" s="1631"/>
      <c r="V195" s="1631"/>
      <c r="W195" s="1631"/>
      <c r="Y195" s="1631"/>
      <c r="Z195" s="1631"/>
      <c r="AA195" s="1631"/>
      <c r="AB195" s="1631"/>
      <c r="AC195" s="1631"/>
      <c r="AD195" s="1631"/>
      <c r="AE195" s="1631"/>
      <c r="AF195" s="1631"/>
      <c r="AG195" s="1631"/>
      <c r="AH195" s="1631"/>
      <c r="AI195" s="1631"/>
      <c r="AJ195" s="1631"/>
      <c r="AK195" s="1631"/>
      <c r="AL195" s="1631">
        <v>11</v>
      </c>
    </row>
    <row r="196" ht="11.5" customHeight="1">
      <c r="A196" s="990"/>
      <c r="B196" s="990"/>
      <c r="C196" s="990"/>
      <c r="D196" s="990"/>
      <c r="E196" s="990"/>
      <c r="F196" s="1631"/>
      <c r="H196" s="1631"/>
      <c r="N196" s="1635"/>
      <c r="O196" s="1631"/>
      <c r="Q196" s="1631"/>
      <c r="T196" s="1631"/>
      <c r="U196" s="1631"/>
      <c r="V196" s="1631"/>
      <c r="W196" s="1631"/>
      <c r="Y196" s="1631"/>
      <c r="Z196" s="1631"/>
      <c r="AA196" s="1631"/>
      <c r="AB196" s="1631"/>
      <c r="AC196" s="1631"/>
      <c r="AD196" s="1631"/>
      <c r="AE196" s="1631"/>
      <c r="AF196" s="1631"/>
      <c r="AG196" s="1631"/>
      <c r="AH196" s="1631"/>
      <c r="AI196" s="1631"/>
      <c r="AJ196" s="1631"/>
      <c r="AK196" s="1631"/>
      <c r="AL196" s="1631">
        <v>11</v>
      </c>
    </row>
    <row r="197" ht="11.5" customHeight="1">
      <c r="A197" s="990"/>
      <c r="B197" s="990"/>
      <c r="C197" s="990"/>
      <c r="D197" s="990"/>
      <c r="E197" s="990"/>
      <c r="F197" s="1631"/>
      <c r="H197" s="1631"/>
      <c r="N197" s="1635"/>
      <c r="O197" s="1631"/>
      <c r="Q197" s="1631"/>
      <c r="T197" s="1631"/>
      <c r="U197" s="1631"/>
      <c r="V197" s="1631"/>
      <c r="W197" s="1631"/>
      <c r="Y197" s="1631"/>
      <c r="Z197" s="1631"/>
      <c r="AA197" s="1631"/>
      <c r="AB197" s="1631"/>
      <c r="AC197" s="1631"/>
      <c r="AD197" s="1631"/>
      <c r="AE197" s="1631"/>
      <c r="AF197" s="1631"/>
      <c r="AG197" s="1631"/>
      <c r="AH197" s="1631"/>
      <c r="AI197" s="1631"/>
      <c r="AJ197" s="1631"/>
      <c r="AK197" s="1631"/>
      <c r="AL197" s="1631">
        <v>11</v>
      </c>
    </row>
    <row r="198" ht="11.5" customHeight="1">
      <c r="A198" s="990"/>
      <c r="B198" s="990"/>
      <c r="C198" s="990"/>
      <c r="D198" s="990"/>
      <c r="E198" s="990"/>
      <c r="F198" s="1631"/>
      <c r="H198" s="1631"/>
      <c r="N198" s="1635"/>
      <c r="O198" s="1631"/>
      <c r="Q198" s="1631"/>
      <c r="T198" s="1631"/>
      <c r="U198" s="1631"/>
      <c r="V198" s="1631"/>
      <c r="W198" s="1631"/>
      <c r="Y198" s="1631"/>
      <c r="Z198" s="1631"/>
      <c r="AA198" s="1631"/>
      <c r="AB198" s="1631"/>
      <c r="AC198" s="1631"/>
      <c r="AD198" s="1631"/>
      <c r="AE198" s="1631"/>
      <c r="AF198" s="1631"/>
      <c r="AG198" s="1631"/>
      <c r="AH198" s="1631"/>
      <c r="AI198" s="1631"/>
      <c r="AJ198" s="1631"/>
      <c r="AK198" s="1631"/>
      <c r="AL198" s="1631">
        <v>11</v>
      </c>
    </row>
    <row r="199" ht="11.5" customHeight="1">
      <c r="A199" s="990"/>
      <c r="B199" s="990"/>
      <c r="C199" s="990"/>
      <c r="D199" s="990"/>
      <c r="E199" s="990"/>
      <c r="F199" s="1631"/>
      <c r="H199" s="1631"/>
      <c r="N199" s="1635"/>
      <c r="O199" s="1631"/>
      <c r="Q199" s="1631"/>
      <c r="T199" s="1631"/>
      <c r="U199" s="1631"/>
      <c r="V199" s="1631"/>
      <c r="W199" s="1631"/>
      <c r="Y199" s="1631"/>
      <c r="Z199" s="1631"/>
      <c r="AA199" s="1631"/>
      <c r="AB199" s="1631"/>
      <c r="AC199" s="1631"/>
      <c r="AD199" s="1631"/>
      <c r="AE199" s="1631"/>
      <c r="AF199" s="1631"/>
      <c r="AG199" s="1631"/>
      <c r="AH199" s="1631"/>
      <c r="AI199" s="1631"/>
      <c r="AJ199" s="1631"/>
      <c r="AK199" s="1631"/>
      <c r="AL199" s="1631">
        <v>11</v>
      </c>
    </row>
    <row r="200" ht="11.5" customHeight="1">
      <c r="A200" s="990"/>
      <c r="B200" s="990"/>
      <c r="C200" s="990"/>
      <c r="D200" s="990"/>
      <c r="E200" s="990"/>
      <c r="F200" s="1631"/>
      <c r="H200" s="1631"/>
      <c r="N200" s="1635"/>
      <c r="O200" s="1631"/>
      <c r="Q200" s="1631"/>
      <c r="T200" s="1631"/>
      <c r="U200" s="1631"/>
      <c r="V200" s="1631"/>
      <c r="W200" s="1631"/>
      <c r="Y200" s="1631"/>
      <c r="Z200" s="1631"/>
      <c r="AA200" s="1631"/>
      <c r="AB200" s="1631"/>
      <c r="AC200" s="1631"/>
      <c r="AD200" s="1631"/>
      <c r="AE200" s="1631"/>
      <c r="AF200" s="1631"/>
      <c r="AG200" s="1631"/>
      <c r="AH200" s="1631"/>
      <c r="AI200" s="1631"/>
      <c r="AJ200" s="1631"/>
      <c r="AK200" s="1631"/>
      <c r="AL200" s="1631">
        <v>11</v>
      </c>
    </row>
    <row r="201" ht="11.5" customHeight="1">
      <c r="A201" s="990"/>
      <c r="B201" s="990"/>
      <c r="C201" s="990"/>
      <c r="D201" s="990"/>
      <c r="E201" s="990"/>
      <c r="F201" s="1631"/>
      <c r="H201" s="1631"/>
      <c r="N201" s="1635"/>
      <c r="O201" s="1631"/>
      <c r="Q201" s="1631"/>
      <c r="T201" s="1631"/>
      <c r="U201" s="1631"/>
      <c r="V201" s="1631"/>
      <c r="W201" s="1631"/>
      <c r="Y201" s="1631"/>
      <c r="Z201" s="1631"/>
      <c r="AA201" s="1631"/>
      <c r="AB201" s="1631"/>
      <c r="AC201" s="1631"/>
      <c r="AD201" s="1631"/>
      <c r="AE201" s="1631"/>
      <c r="AF201" s="1631"/>
      <c r="AG201" s="1631"/>
      <c r="AH201" s="1631"/>
      <c r="AI201" s="1631"/>
      <c r="AJ201" s="1631"/>
      <c r="AK201" s="1631"/>
      <c r="AL201" s="1631">
        <v>11</v>
      </c>
    </row>
    <row r="202" ht="11.5" customHeight="1">
      <c r="A202" s="990"/>
      <c r="B202" s="990"/>
      <c r="C202" s="990"/>
      <c r="D202" s="990"/>
      <c r="E202" s="990"/>
      <c r="F202" s="1631"/>
      <c r="H202" s="1631"/>
      <c r="N202" s="1635"/>
      <c r="O202" s="1631"/>
      <c r="Q202" s="1631"/>
      <c r="T202" s="1631"/>
      <c r="U202" s="1631"/>
      <c r="V202" s="1631"/>
      <c r="W202" s="1631"/>
      <c r="Y202" s="1631"/>
      <c r="Z202" s="1631"/>
      <c r="AA202" s="1631"/>
      <c r="AB202" s="1631"/>
      <c r="AC202" s="1631"/>
      <c r="AD202" s="1631"/>
      <c r="AE202" s="1631"/>
      <c r="AF202" s="1631"/>
      <c r="AG202" s="1631"/>
      <c r="AH202" s="1631"/>
      <c r="AI202" s="1631"/>
      <c r="AJ202" s="1631"/>
      <c r="AK202" s="1631"/>
      <c r="AL202" s="1631">
        <v>11</v>
      </c>
    </row>
    <row r="203" ht="11.5" customHeight="1">
      <c r="A203" s="990"/>
      <c r="B203" s="990"/>
      <c r="C203" s="990"/>
      <c r="D203" s="990"/>
      <c r="E203" s="990"/>
      <c r="F203" s="1631"/>
      <c r="H203" s="1631"/>
      <c r="N203" s="1635"/>
      <c r="O203" s="1631"/>
      <c r="Q203" s="1631"/>
      <c r="T203" s="1631"/>
      <c r="U203" s="1631"/>
      <c r="V203" s="1631"/>
      <c r="W203" s="1631"/>
      <c r="Y203" s="1631"/>
      <c r="Z203" s="1631"/>
      <c r="AA203" s="1631"/>
      <c r="AB203" s="1631"/>
      <c r="AC203" s="1631"/>
      <c r="AD203" s="1631"/>
      <c r="AE203" s="1631"/>
      <c r="AF203" s="1631"/>
      <c r="AG203" s="1631"/>
      <c r="AH203" s="1631"/>
      <c r="AI203" s="1631"/>
      <c r="AJ203" s="1631"/>
      <c r="AK203" s="1631"/>
      <c r="AL203" s="1631">
        <v>11</v>
      </c>
    </row>
    <row r="204" ht="12.75" hidden="1" customHeight="1">
      <c r="A204" s="987" t="s">
        <v>81</v>
      </c>
      <c r="B204" s="987" t="s">
        <v>153</v>
      </c>
      <c r="C204" s="987" t="s">
        <v>153</v>
      </c>
      <c r="D204" s="987" t="s">
        <v>153</v>
      </c>
      <c r="E204" s="987" t="s">
        <v>153</v>
      </c>
      <c r="F204" s="1635">
        <v>16</v>
      </c>
      <c r="G204" s="1636">
        <v>0</v>
      </c>
      <c r="H204" s="1635">
        <v>3</v>
      </c>
      <c r="I204" s="1631">
        <v>7</v>
      </c>
      <c r="J204" s="1631">
        <v>56</v>
      </c>
      <c r="K204" s="1631">
        <v>10</v>
      </c>
      <c r="L204" s="1631">
        <v>40</v>
      </c>
      <c r="M204" s="1631">
        <v>40</v>
      </c>
      <c r="N204" s="1635">
        <v>40</v>
      </c>
      <c r="O204" s="1366">
        <v>9</v>
      </c>
      <c r="P204" s="1631">
        <v>102</v>
      </c>
      <c r="Q204" s="1366">
        <v>9</v>
      </c>
      <c r="R204" s="1636">
        <v>5</v>
      </c>
      <c r="S204" s="1636">
        <v>3</v>
      </c>
      <c r="T204" s="1366">
        <v>3</v>
      </c>
      <c r="U204" s="1366">
        <v>3</v>
      </c>
      <c r="V204" s="1366">
        <v>3</v>
      </c>
      <c r="W204" s="1366">
        <v>3</v>
      </c>
      <c r="X204" s="1636">
        <v>10</v>
      </c>
      <c r="Y204" s="1366">
        <v>34</v>
      </c>
      <c r="Z204" s="1366">
        <v>9</v>
      </c>
      <c r="AA204" s="544">
        <v>8</v>
      </c>
      <c r="AB204" s="1366">
        <v>8</v>
      </c>
      <c r="AC204" s="1366">
        <v>8</v>
      </c>
      <c r="AD204" s="1366">
        <v>8</v>
      </c>
      <c r="AE204" s="1366">
        <v>8</v>
      </c>
      <c r="AF204" s="1366">
        <v>8</v>
      </c>
      <c r="AG204" s="1632">
        <v>8</v>
      </c>
      <c r="AH204" s="1632">
        <v>8</v>
      </c>
      <c r="AI204" s="1632">
        <v>8</v>
      </c>
      <c r="AJ204" s="1632">
        <v>8</v>
      </c>
      <c r="AK204" s="1632">
        <v>8</v>
      </c>
      <c r="AL204" s="1631">
        <v>11</v>
      </c>
    </row>
  </sheetData>
  <sheetProtection autoFilter="0" deleteColumns="0" deleteRows="0" insertColumns="1" insertRows="0" sort="0"/>
  <mergeCells count="7">
    <mergeCell ref="I6:M6"/>
    <mergeCell ref="I7:M7"/>
    <mergeCell ref="J10:K10"/>
    <mergeCell ref="P10:P14"/>
    <mergeCell ref="J11:K11"/>
    <mergeCell ref="J12:K12"/>
    <mergeCell ref="I13:K13"/>
  </mergeCells>
  <pageMargins left="0.69999999999999996" right="0.69999999999999996" top="0.75" bottom="0.75" header="0.29999999999999999" footer="0.29999999999999999"/>
  <pageSetup paperSize="9" pageOrder="downThenOver" orientation="portrait"/>
  <headerFooter>
    <oddHeader>&amp;L&amp;C&amp;R</oddHeader>
    <oddFooter>&amp;L&amp;C&amp;R</oddFooter>
    <evenHeader>&amp;L&amp;C&amp;R</evenHeader>
    <evenFooter>&amp;L&amp;C&amp;R</evenFooter>
  </headerFooter>
  <drawing r:id="rId1"/>
  <extLst>
    <ext xmlns:x14="http://schemas.microsoft.com/office/spreadsheetml/2009/9/main" uri="{CCE6A557-97BC-4b89-ADB6-D9C93CAAB3DF}">
      <x14:dataValidations xmlns:xm="http://schemas.microsoft.com/office/excel/2006/main" count="4">
        <x14:dataValidation xr:uid="{000D00C6-00CF-4EDD-98BA-000A0033004C}" type="decimal" allowBlank="1" error="Допускается ввод только неотрицательных чисел!" errorTitle="Ошибка" showErrorMessage="1">
          <x14:formula1>
            <xm:f>0</xm:f>
          </x14:formula1>
          <x14:formula2>
            <xm:f>9.99999999999999E+23</xm:f>
          </x14:formula2>
          <xm:sqref>L32:N33 L19:N29 L16:N16 L2:N2</xm:sqref>
        </x14:dataValidation>
        <x14:dataValidation xr:uid="{003A0067-00ED-4BE7-87D9-00DD0001002F}" type="textLength" allowBlank="1" error="Допускается ввод не более 900 символов!" errorTitle="Ошибка" operator="lessThanOrEqual" prompt="Введите наименование прочих расходов" showErrorMessage="1" showInputMessage="1">
          <x14:formula1>
            <xm:f>900</xm:f>
          </x14:formula1>
          <xm:sqref>L17:N17</xm:sqref>
        </x14:dataValidation>
        <x14:dataValidation xr:uid="{00FC0029-0074-401E-A3C2-008D003A00C2}" type="whole" allowBlank="1" error="Допускается ввод только неотрицательных целых чисел!" errorTitle="Ошибка" showErrorMessage="1">
          <x14:formula1>
            <xm:f>0</xm:f>
          </x14:formula1>
          <x14:formula2>
            <xm:f>9.99999999999999E+23</xm:f>
          </x14:formula2>
          <xm:sqref>L30:N31</xm:sqref>
        </x14:dataValidation>
        <x14:dataValidation xr:uid="{00BF00D8-001C-4073-8DAF-003100F1006F}" type="textLength" allowBlank="1" error="Допускается ввод не более 900 символов!" errorTitle="Ошибка" operator="lessThanOrEqual" prompt="Введите ссылку на обосновывающие материалы, загруженные с помощью &quot;ЕИАС Web&quot;." showErrorMessage="1" showInputMessage="1">
          <x14:formula1>
            <xm:f>900</xm:f>
          </x14:formula1>
          <xm:sqref>L15:N15 L34:N34</xm:sqref>
        </x14:dataValidation>
      </x14:dataValidations>
    </ext>
  </extLst>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9" tint="-0.25"/>
  </sheetPr>
  <sheetViews>
    <sheetView showGridLines="0" topLeftCell="A1" zoomScale="90" workbookViewId="0">
      <selection activeCell="A1" sqref="A1"/>
    </sheetView>
  </sheetViews>
  <sheetFormatPr defaultColWidth="10.57421875" defaultRowHeight="14.25" customHeight="1"/>
  <cols>
    <col hidden="1" min="1" max="4" style="1635" width="10.57421875"/>
    <col customWidth="1" hidden="1" min="5" max="5" style="2397" width="9.140625"/>
    <col customWidth="1" hidden="1" min="6" max="7" style="1366" width="9.140625"/>
    <col customWidth="1" min="8" max="8" style="344" width="3.00390625"/>
    <col customWidth="1" min="9" max="9" style="1635" width="6.00390625"/>
    <col customWidth="1" min="10" max="10" style="1635" width="63.00390625"/>
    <col customWidth="1" min="11" max="11" style="1635" width="9.00390625"/>
    <col customWidth="1" min="12" max="12" style="1635" width="39.00390625"/>
    <col customWidth="1" min="13" max="13" style="1635" width="89.00390625"/>
    <col customWidth="1" min="14" max="14" style="1635" width="10.00390625"/>
    <col customWidth="1" min="15" max="16" style="1624" width="10.00390625"/>
    <col customWidth="1" min="17" max="22" style="1635" width="10.00390625"/>
    <col hidden="1" min="23" max="23" style="1635" width="10.57421875"/>
  </cols>
  <sheetData>
    <row r="1" ht="22.5" hidden="1" customHeight="1">
      <c r="S1" s="255"/>
      <c r="T1" s="255"/>
      <c r="V1" s="255"/>
      <c r="W1" s="1631" t="s">
        <v>14</v>
      </c>
    </row>
    <row r="2" ht="22.5" hidden="1" customHeight="1">
      <c r="B2" s="2053" t="s">
        <v>690</v>
      </c>
      <c r="C2" s="2053" t="s">
        <v>691</v>
      </c>
      <c r="D2" s="2052" t="s">
        <v>630</v>
      </c>
      <c r="E2" s="2058">
        <f>I2-3</f>
        <v>-3</v>
      </c>
      <c r="F2" s="2058">
        <f>J2</f>
        <v>0</v>
      </c>
      <c r="H2" s="1730" t="s">
        <v>122</v>
      </c>
      <c r="I2" s="2024"/>
      <c r="J2" s="1682"/>
      <c r="K2" s="2018" t="s">
        <v>308</v>
      </c>
      <c r="L2" s="1164"/>
      <c r="M2" s="297"/>
      <c r="N2" s="1624"/>
      <c r="P2" s="1631"/>
      <c r="W2" s="1631">
        <v>0</v>
      </c>
    </row>
    <row r="3" ht="14.25" hidden="1" customHeight="1">
      <c r="W3" s="1631">
        <v>0</v>
      </c>
    </row>
    <row r="4" ht="6.2999999999999998" customHeight="1">
      <c r="H4" s="376"/>
      <c r="I4" s="457"/>
      <c r="J4" s="457"/>
      <c r="K4" s="457"/>
      <c r="L4" s="85"/>
      <c r="M4" s="85"/>
      <c r="W4" s="1631">
        <v>6</v>
      </c>
    </row>
    <row r="5" ht="50.25" customHeight="1">
      <c r="H5" s="376"/>
      <c r="I5" s="2248" t="s">
        <v>692</v>
      </c>
      <c r="J5" s="2248"/>
      <c r="K5" s="2248"/>
      <c r="L5" s="2248"/>
      <c r="M5" s="266"/>
      <c r="W5" s="1631">
        <v>48</v>
      </c>
    </row>
    <row r="6" ht="18" customHeight="1">
      <c r="H6" s="376"/>
      <c r="I6" s="2249" t="str">
        <f>IF(org=0,"Не определено",org)</f>
        <v xml:space="preserve">филиал ПАО "ОГК-2" - Рязанская ГРЭС</v>
      </c>
      <c r="J6" s="2249"/>
      <c r="K6" s="2249"/>
      <c r="L6" s="2249"/>
      <c r="M6" s="266"/>
      <c r="W6" s="1631">
        <v>17</v>
      </c>
    </row>
    <row r="7" ht="14.65" customHeight="1">
      <c r="H7" s="376"/>
      <c r="I7" s="457"/>
      <c r="J7" s="463"/>
      <c r="K7" s="463"/>
      <c r="L7" s="752"/>
      <c r="M7" s="193"/>
      <c r="W7" s="1631">
        <v>14</v>
      </c>
    </row>
    <row r="8" ht="14.65" customHeight="1">
      <c r="H8" s="376"/>
      <c r="I8" s="2386" t="s">
        <v>302</v>
      </c>
      <c r="J8" s="2387"/>
      <c r="K8" s="2387"/>
      <c r="L8" s="2388"/>
      <c r="M8" s="2389" t="s">
        <v>303</v>
      </c>
      <c r="W8" s="1631">
        <v>14</v>
      </c>
    </row>
    <row r="9" ht="35.649999999999999" customHeight="1">
      <c r="E9" s="2051" t="s">
        <v>621</v>
      </c>
      <c r="F9" s="2051" t="s">
        <v>627</v>
      </c>
      <c r="H9" s="376"/>
      <c r="I9" s="2025" t="s">
        <v>87</v>
      </c>
      <c r="J9" s="2026" t="s">
        <v>304</v>
      </c>
      <c r="K9" s="2064" t="s">
        <v>568</v>
      </c>
      <c r="L9" s="2065" t="s">
        <v>305</v>
      </c>
      <c r="M9" s="2389"/>
      <c r="W9" s="1631">
        <v>34</v>
      </c>
    </row>
    <row r="10" ht="35.649999999999999" customHeight="1">
      <c r="B10" s="2053" t="s">
        <v>693</v>
      </c>
      <c r="C10" s="2053" t="s">
        <v>694</v>
      </c>
      <c r="D10" s="2052" t="s">
        <v>630</v>
      </c>
      <c r="E10" s="2056" t="s">
        <v>631</v>
      </c>
      <c r="F10" s="2056" t="s">
        <v>631</v>
      </c>
      <c r="H10" s="376"/>
      <c r="I10" s="2024" t="s">
        <v>109</v>
      </c>
      <c r="J10" s="1886" t="s">
        <v>695</v>
      </c>
      <c r="K10" s="2018" t="s">
        <v>308</v>
      </c>
      <c r="L10" s="818"/>
      <c r="M10" s="297" t="s">
        <v>696</v>
      </c>
      <c r="W10" s="1631">
        <v>34</v>
      </c>
    </row>
    <row r="11" ht="50.25" customHeight="1">
      <c r="B11" s="2053" t="s">
        <v>697</v>
      </c>
      <c r="C11" s="2053" t="s">
        <v>698</v>
      </c>
      <c r="D11" s="2052" t="s">
        <v>630</v>
      </c>
      <c r="E11" s="2056" t="s">
        <v>631</v>
      </c>
      <c r="F11" s="2056" t="s">
        <v>631</v>
      </c>
      <c r="H11" s="376"/>
      <c r="I11" s="2024" t="s">
        <v>110</v>
      </c>
      <c r="J11" s="1886" t="s">
        <v>699</v>
      </c>
      <c r="K11" s="2018" t="s">
        <v>308</v>
      </c>
      <c r="L11" s="818"/>
      <c r="M11" s="297" t="s">
        <v>696</v>
      </c>
      <c r="W11" s="1631">
        <v>48</v>
      </c>
    </row>
    <row r="12" ht="48.25" customHeight="1">
      <c r="B12" s="2053" t="s">
        <v>700</v>
      </c>
      <c r="C12" s="2053" t="s">
        <v>701</v>
      </c>
      <c r="D12" s="2052" t="s">
        <v>630</v>
      </c>
      <c r="E12" s="2056" t="s">
        <v>631</v>
      </c>
      <c r="F12" s="2056" t="s">
        <v>631</v>
      </c>
      <c r="H12" s="1688"/>
      <c r="I12" s="2024" t="s">
        <v>89</v>
      </c>
      <c r="J12" s="2031" t="s">
        <v>702</v>
      </c>
      <c r="K12" s="2018" t="s">
        <v>308</v>
      </c>
      <c r="L12" s="818"/>
      <c r="M12" s="297" t="s">
        <v>703</v>
      </c>
      <c r="N12" s="1624"/>
      <c r="P12" s="1631"/>
      <c r="W12" s="1631">
        <v>46</v>
      </c>
    </row>
    <row r="13" ht="14.65" customHeight="1">
      <c r="E13" s="343"/>
      <c r="H13" s="376"/>
      <c r="I13" s="347"/>
      <c r="J13" s="651" t="s">
        <v>704</v>
      </c>
      <c r="K13" s="571"/>
      <c r="L13" s="214"/>
      <c r="M13" s="297"/>
      <c r="W13" s="1631">
        <v>14</v>
      </c>
    </row>
    <row r="14" ht="14.65" customHeight="1">
      <c r="E14" s="343"/>
      <c r="H14" s="376"/>
      <c r="I14" s="1057"/>
      <c r="J14" s="1677"/>
      <c r="K14" s="1678"/>
      <c r="L14" s="1679"/>
      <c r="M14" s="2028"/>
      <c r="W14" s="1631">
        <v>14</v>
      </c>
    </row>
    <row r="15" ht="14.65" customHeight="1">
      <c r="I15" s="1681"/>
      <c r="J15" s="2385"/>
      <c r="K15" s="2385"/>
      <c r="L15" s="2385"/>
      <c r="M15" s="2385"/>
      <c r="W15" s="1631">
        <v>14</v>
      </c>
    </row>
    <row r="16" ht="21" hidden="1" customHeight="1">
      <c r="A16" s="2030" t="s">
        <v>81</v>
      </c>
      <c r="B16" s="1631">
        <v>9</v>
      </c>
      <c r="C16" s="1631">
        <v>9</v>
      </c>
      <c r="D16" s="1631">
        <v>9</v>
      </c>
      <c r="E16" s="2030" t="s">
        <v>152</v>
      </c>
      <c r="F16" s="2055" t="s">
        <v>152</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autoFilter="0" deleteColumns="0" deleteRows="0" formatColumns="0" formatRows="0" insertColumns="1" insertRows="0" sort="0"/>
  <mergeCells count="5">
    <mergeCell ref="J15:M15"/>
    <mergeCell ref="I5:L5"/>
    <mergeCell ref="I6:L6"/>
    <mergeCell ref="I8:L8"/>
    <mergeCell ref="M8:M9"/>
  </mergeCells>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drawing r:id="rId1"/>
  <extLst>
    <ext xmlns:x14="http://schemas.microsoft.com/office/spreadsheetml/2009/9/main" uri="{CCE6A557-97BC-4b89-ADB6-D9C93CAAB3DF}">
      <x14:dataValidations xmlns:xm="http://schemas.microsoft.com/office/excel/2006/main" count="2">
        <x14:dataValidation xr:uid="{00E0003A-00FE-4EB1-A818-003700E2004F}" type="textLength" allowBlank="1" error="Допускается ввод не более 900 символов!" errorTitle="Ошибка" operator="lessThanOrEqual" showErrorMessage="1" showInputMessage="1">
          <x14:formula1>
            <xm:f>900</xm:f>
          </x14:formula1>
          <xm:sqref>M10 J2</xm:sqref>
        </x14:dataValidation>
        <x14:dataValidation xr:uid="{00C70021-00DE-4B04-B640-0076001700FF}" type="textLength" allowBlank="1" error="Допускается ввод не более 900 символов!" errorTitle="Ошибка" operator="lessThanOrEqual"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howErrorMessage="1" showInputMessage="1">
          <x14:formula1>
            <xm:f>900</xm:f>
          </x14:formula1>
          <xm:sqref>L2 L10:L12</xm:sqref>
        </x14:dataValidation>
      </x14:dataValidations>
    </ext>
  </extLst>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9" tint="-0.25"/>
  </sheetPr>
  <sheetViews>
    <sheetView showGridLines="0" topLeftCell="A1" zoomScale="90" workbookViewId="0">
      <selection activeCell="J9" sqref="J9"/>
    </sheetView>
  </sheetViews>
  <sheetFormatPr defaultColWidth="9.140625" defaultRowHeight="11.25" customHeight="1"/>
  <cols>
    <col customWidth="1" hidden="1" min="1" max="1" style="987" width="10.7109375"/>
    <col customWidth="1" hidden="1" min="2" max="2" style="1366" width="16.8515625"/>
    <col customWidth="1" hidden="1" min="3" max="3" style="1642" width="5.57421875"/>
    <col customWidth="1" min="4" max="4" style="1635" width="3.00390625"/>
    <col customWidth="1" min="5" max="5" style="1635" width="7.00390625"/>
    <col customWidth="1" min="6" max="6" style="1635" width="56.00390625"/>
    <col customWidth="1" min="7" max="7" style="1635" width="10.00390625"/>
    <col customWidth="1" hidden="1" min="8" max="8" style="1635" width="40.7109375"/>
    <col customWidth="1" min="9" max="9" style="1635" width="40.00390625"/>
    <col customWidth="1" min="10" max="10" style="1635" width="40.7109375"/>
    <col customWidth="1" min="11" max="11" style="1635" width="102.00390625"/>
    <col customWidth="1" min="12" max="12" style="1366" width="9.00390625"/>
    <col customWidth="1" min="13" max="13" style="1642" width="5.00390625"/>
    <col customWidth="1" min="14" max="14" style="1642" width="3.00390625"/>
    <col customWidth="1" min="15" max="18" style="1366" width="3.00390625"/>
    <col customWidth="1" min="19" max="19" style="1642" width="10.00390625"/>
    <col customWidth="1" min="20" max="20" style="1366" width="34.00390625"/>
    <col customWidth="1" min="21" max="21" style="1366" width="9.00390625"/>
    <col customWidth="1" min="22" max="22" style="736" width="8.00390625"/>
    <col customWidth="1" min="23" max="27" style="1366" width="8.00390625"/>
    <col customWidth="1" min="28" max="32" style="1632" width="8.00390625"/>
    <col customWidth="1" hidden="1" min="33" max="33" style="1635" width="10.421875"/>
  </cols>
  <sheetData>
    <row r="1" s="1366" customFormat="1" ht="22.5" hidden="1" customHeight="1">
      <c r="A1" s="987"/>
      <c r="C1" s="1636"/>
      <c r="D1" s="537"/>
      <c r="H1" s="1160">
        <v>4</v>
      </c>
      <c r="I1" s="1160">
        <v>4</v>
      </c>
      <c r="J1" s="1366">
        <v>4</v>
      </c>
      <c r="M1" s="1636"/>
      <c r="N1" s="1636"/>
      <c r="S1" s="1636"/>
      <c r="AG1" s="1160" t="s">
        <v>14</v>
      </c>
    </row>
    <row r="2" s="1366" customFormat="1" ht="22.5" hidden="1" customHeight="1">
      <c r="A2" s="987"/>
      <c r="C2" s="1636"/>
      <c r="D2" s="538"/>
      <c r="E2" s="1637"/>
      <c r="F2" s="540"/>
      <c r="G2" s="1639" t="s">
        <v>554</v>
      </c>
      <c r="H2" s="541"/>
      <c r="I2" s="541"/>
      <c r="J2" s="751"/>
      <c r="K2" s="542" t="s">
        <v>705</v>
      </c>
      <c r="L2" s="543"/>
      <c r="M2" s="1636"/>
      <c r="N2" s="1636"/>
      <c r="S2" s="1636"/>
      <c r="V2" s="544"/>
      <c r="AB2" s="1632"/>
      <c r="AC2" s="1632"/>
      <c r="AD2" s="1632"/>
      <c r="AE2" s="1632"/>
      <c r="AF2" s="1632"/>
      <c r="AG2" s="1160">
        <v>0</v>
      </c>
    </row>
    <row r="3" ht="11.25" hidden="1" customHeight="1">
      <c r="J3" s="1635"/>
      <c r="AG3" s="1631">
        <v>0</v>
      </c>
    </row>
    <row r="4" s="1632" customFormat="1" ht="11.25" hidden="1" customHeight="1">
      <c r="A4" s="987"/>
      <c r="B4" s="1160"/>
      <c r="C4" s="1636"/>
      <c r="D4" s="362"/>
      <c r="J4" s="1632"/>
      <c r="K4" s="1632">
        <v>4</v>
      </c>
      <c r="L4" s="1160"/>
      <c r="M4" s="1636"/>
      <c r="N4" s="1636"/>
      <c r="O4" s="1160"/>
      <c r="P4" s="1160"/>
      <c r="Q4" s="1160"/>
      <c r="R4" s="1160"/>
      <c r="S4" s="1636"/>
      <c r="T4" s="1160"/>
      <c r="U4" s="1160"/>
      <c r="V4" s="544"/>
      <c r="W4" s="1160"/>
      <c r="X4" s="1160"/>
      <c r="Y4" s="1160"/>
      <c r="Z4" s="1160"/>
      <c r="AA4" s="1160"/>
      <c r="AG4" s="1632">
        <v>0</v>
      </c>
    </row>
    <row r="5" ht="11.5" customHeight="1">
      <c r="J5" s="1635"/>
      <c r="AG5" s="1631">
        <v>11</v>
      </c>
    </row>
    <row r="6" ht="31.5" customHeight="1">
      <c r="E6" s="2307" t="s">
        <v>706</v>
      </c>
      <c r="F6" s="2307"/>
      <c r="G6" s="2307"/>
      <c r="H6" s="2307"/>
      <c r="I6" s="2307"/>
      <c r="J6" s="2307"/>
      <c r="K6" s="556"/>
      <c r="AG6" s="1631">
        <v>30</v>
      </c>
    </row>
    <row r="7" ht="11.5" customHeight="1">
      <c r="E7" s="2249" t="str">
        <f>IF(org=0,"Не определено",org)</f>
        <v xml:space="preserve">филиал ПАО "ОГК-2" - Рязанская ГРЭС</v>
      </c>
      <c r="F7" s="2249"/>
      <c r="G7" s="2249"/>
      <c r="H7" s="2249"/>
      <c r="I7" s="2249"/>
      <c r="J7" s="2249"/>
      <c r="AG7" s="1631">
        <v>11</v>
      </c>
    </row>
    <row r="8" ht="11.5" customHeight="1">
      <c r="E8" s="1135"/>
      <c r="F8" s="1135"/>
      <c r="G8" s="1135"/>
      <c r="H8" s="1135"/>
      <c r="I8" s="1135"/>
      <c r="J8" s="1136" t="s">
        <v>22</v>
      </c>
      <c r="AG8" s="1631">
        <v>11</v>
      </c>
    </row>
    <row r="9" s="1642" customFormat="1" ht="4.2000000000000002" customHeight="1">
      <c r="A9" s="1167"/>
      <c r="D9" s="1642"/>
      <c r="H9" s="889"/>
      <c r="I9" s="889" t="s">
        <v>117</v>
      </c>
      <c r="J9" s="889" t="s">
        <v>123</v>
      </c>
      <c r="AG9" s="1636">
        <v>4</v>
      </c>
    </row>
    <row r="10" ht="11.5" customHeight="1">
      <c r="E10" s="711"/>
      <c r="F10" s="2367" t="s">
        <v>105</v>
      </c>
      <c r="G10" s="2368"/>
      <c r="H10" s="1552" t="str">
        <f>IF(H9="","",INDEX(DIFFERENTIATION_UNMERGE_VD,MATCH(H9,DIFFERENTIATION_ID_DIFF,0)))</f>
        <v/>
      </c>
      <c r="I10" s="1552" t="str">
        <f>IF(I9="","",INDEX(DIFFERENTIATION_UNMERGE_VD,MATCH(I9,DIFFERENTIATION_ID_DIFF,0)))</f>
        <v>Водоотведение</v>
      </c>
      <c r="J10" s="2393" t="str">
        <f>IF(J9="","",INDEX(DIFFERENTIATION_UNMERGE_VD,MATCH(J9,DIFFERENTIATION_ID_DIFF,0)))</f>
        <v>Транспортировка</v>
      </c>
      <c r="K10" s="2127"/>
      <c r="AG10" s="1631">
        <v>11</v>
      </c>
    </row>
    <row r="11" ht="11.5" customHeight="1">
      <c r="E11" s="711"/>
      <c r="F11" s="2367" t="s">
        <v>566</v>
      </c>
      <c r="G11" s="2368"/>
      <c r="H11" s="1552" t="str">
        <f>IF(H9="","",INDEX(DIFFERENTIATION_UNMERGE_AREA,MATCH(H9,DIFFERENTIATION_ID_DIFF,0)))</f>
        <v/>
      </c>
      <c r="I11" s="1552" t="str">
        <f>IF(I9="","",INDEX(DIFFERENTIATION_UNMERGE_AREA,MATCH(I9,DIFFERENTIATION_ID_DIFF,0)))</f>
        <v xml:space="preserve">без дифференциации</v>
      </c>
      <c r="J11" s="2393" t="str">
        <f>IF(J9="","",INDEX(DIFFERENTIATION_UNMERGE_AREA,MATCH(J9,DIFFERENTIATION_ID_DIFF,0)))</f>
        <v xml:space="preserve">без дифференциации</v>
      </c>
      <c r="K11" s="2127"/>
      <c r="AG11" s="1631">
        <v>11</v>
      </c>
    </row>
    <row r="12" ht="1.05" customHeight="1">
      <c r="E12" s="1662"/>
      <c r="F12" s="2390" t="s">
        <v>567</v>
      </c>
      <c r="G12" s="2391"/>
      <c r="H12" s="1663" t="str">
        <f>IF(H9="","",INDEX(DIFFERENTIATION_UNMERGE_SYSTEM,MATCH(H9,DIFFERENTIATION_ID_DIFF,0)))</f>
        <v/>
      </c>
      <c r="I12" s="1663" t="str">
        <f>IF(I9="","",INDEX(DIFFERENTIATION_UNMERGE_SYSTEM,MATCH(I9,DIFFERENTIATION_ID_DIFF,0)))</f>
        <v xml:space="preserve">без дифференциации</v>
      </c>
      <c r="J12" s="1663" t="str">
        <f>IF(J9="","",INDEX(DIFFERENTIATION_UNMERGE_SYSTEM,MATCH(J9,DIFFERENTIATION_ID_DIFF,0)))</f>
        <v xml:space="preserve">без дифференциации</v>
      </c>
      <c r="K12" s="2127"/>
      <c r="AG12" s="1631">
        <v>1</v>
      </c>
    </row>
    <row r="13" ht="11.5" customHeight="1">
      <c r="E13" s="2369" t="s">
        <v>302</v>
      </c>
      <c r="F13" s="2370"/>
      <c r="G13" s="2370"/>
      <c r="H13" s="1551"/>
      <c r="I13" s="1551"/>
      <c r="J13" s="2367"/>
      <c r="K13" s="2127"/>
      <c r="AG13" s="1631">
        <v>11</v>
      </c>
    </row>
    <row r="14" ht="24" customHeight="1">
      <c r="E14" s="1639" t="s">
        <v>87</v>
      </c>
      <c r="F14" s="1634" t="s">
        <v>304</v>
      </c>
      <c r="G14" s="1634" t="s">
        <v>568</v>
      </c>
      <c r="H14" s="1634" t="s">
        <v>305</v>
      </c>
      <c r="I14" s="1634" t="s">
        <v>305</v>
      </c>
      <c r="J14" s="2312" t="s">
        <v>305</v>
      </c>
      <c r="K14" s="2127"/>
      <c r="AG14" s="1631">
        <v>23</v>
      </c>
    </row>
    <row r="15" ht="19.949999999999999" customHeight="1">
      <c r="D15" s="1638"/>
      <c r="E15" s="1630" t="s">
        <v>109</v>
      </c>
      <c r="F15" s="707" t="s">
        <v>707</v>
      </c>
      <c r="G15" s="1646" t="s">
        <v>554</v>
      </c>
      <c r="H15" s="557"/>
      <c r="I15" s="557"/>
      <c r="J15" s="557"/>
      <c r="K15" s="289" t="s">
        <v>708</v>
      </c>
      <c r="L15" s="543" t="s">
        <v>633</v>
      </c>
      <c r="AG15" s="1631">
        <v>19</v>
      </c>
    </row>
    <row r="16" ht="35.649999999999999" customHeight="1">
      <c r="D16" s="1638"/>
      <c r="E16" s="1630" t="s">
        <v>110</v>
      </c>
      <c r="F16" s="707" t="s">
        <v>709</v>
      </c>
      <c r="G16" s="1646" t="s">
        <v>554</v>
      </c>
      <c r="H16" s="558">
        <f>SUM(H17,H20:H32)</f>
        <v>0</v>
      </c>
      <c r="I16" s="558">
        <f>SUM(I17,I20,I23,I26,I29:I32)</f>
        <v>0</v>
      </c>
      <c r="J16" s="558">
        <f>SUM(J17,J20:J32)</f>
        <v>0</v>
      </c>
      <c r="K16" s="289" t="s">
        <v>710</v>
      </c>
      <c r="L16" s="543" t="s">
        <v>633</v>
      </c>
      <c r="AG16" s="1631">
        <v>34</v>
      </c>
    </row>
    <row r="17" ht="19.949999999999999" customHeight="1">
      <c r="D17" s="1638"/>
      <c r="E17" s="1664" t="s">
        <v>711</v>
      </c>
      <c r="F17" s="954" t="s">
        <v>712</v>
      </c>
      <c r="G17" s="1643" t="s">
        <v>554</v>
      </c>
      <c r="H17" s="557"/>
      <c r="I17" s="557"/>
      <c r="J17" s="557"/>
      <c r="K17" s="289" t="s">
        <v>713</v>
      </c>
      <c r="L17" s="543"/>
      <c r="AG17" s="1631">
        <v>19</v>
      </c>
    </row>
    <row r="18" ht="24" customHeight="1">
      <c r="D18" s="1638"/>
      <c r="E18" s="1664" t="s">
        <v>714</v>
      </c>
      <c r="F18" s="1650" t="s">
        <v>715</v>
      </c>
      <c r="G18" s="1643" t="s">
        <v>554</v>
      </c>
      <c r="H18" s="557"/>
      <c r="I18" s="557"/>
      <c r="J18" s="557"/>
      <c r="K18" s="289" t="s">
        <v>716</v>
      </c>
      <c r="L18" s="543"/>
      <c r="AG18" s="1631">
        <v>23</v>
      </c>
    </row>
    <row r="19" ht="35.649999999999999" customHeight="1">
      <c r="D19" s="1638"/>
      <c r="E19" s="1664" t="s">
        <v>717</v>
      </c>
      <c r="F19" s="1650" t="s">
        <v>718</v>
      </c>
      <c r="G19" s="1643" t="s">
        <v>554</v>
      </c>
      <c r="H19" s="557"/>
      <c r="I19" s="557"/>
      <c r="J19" s="557"/>
      <c r="K19" s="289"/>
      <c r="L19" s="543"/>
      <c r="AG19" s="1631">
        <v>34</v>
      </c>
    </row>
    <row r="20" ht="19.949999999999999" customHeight="1">
      <c r="D20" s="1638"/>
      <c r="E20" s="1664" t="s">
        <v>309</v>
      </c>
      <c r="F20" s="954" t="s">
        <v>719</v>
      </c>
      <c r="G20" s="1643" t="s">
        <v>554</v>
      </c>
      <c r="H20" s="557"/>
      <c r="I20" s="557"/>
      <c r="J20" s="557"/>
      <c r="K20" s="289" t="s">
        <v>720</v>
      </c>
      <c r="L20" s="543"/>
      <c r="AG20" s="1631">
        <v>19</v>
      </c>
    </row>
    <row r="21" ht="19.949999999999999" customHeight="1">
      <c r="D21" s="1638"/>
      <c r="E21" s="1664" t="s">
        <v>721</v>
      </c>
      <c r="F21" s="1650" t="s">
        <v>722</v>
      </c>
      <c r="G21" s="1643" t="s">
        <v>554</v>
      </c>
      <c r="H21" s="557"/>
      <c r="I21" s="557"/>
      <c r="J21" s="557"/>
      <c r="K21" s="289"/>
      <c r="L21" s="543"/>
      <c r="AG21" s="1631">
        <v>19</v>
      </c>
    </row>
    <row r="22" ht="19.949999999999999" customHeight="1">
      <c r="D22" s="1638"/>
      <c r="E22" s="1664" t="s">
        <v>723</v>
      </c>
      <c r="F22" s="1650" t="s">
        <v>724</v>
      </c>
      <c r="G22" s="1643" t="s">
        <v>554</v>
      </c>
      <c r="H22" s="557"/>
      <c r="I22" s="557"/>
      <c r="J22" s="557"/>
      <c r="K22" s="289"/>
      <c r="L22" s="543"/>
      <c r="AG22" s="1631">
        <v>19</v>
      </c>
    </row>
    <row r="23" ht="24" customHeight="1">
      <c r="D23" s="1638"/>
      <c r="E23" s="1664" t="s">
        <v>312</v>
      </c>
      <c r="F23" s="954" t="s">
        <v>725</v>
      </c>
      <c r="G23" s="1643" t="s">
        <v>554</v>
      </c>
      <c r="H23" s="557"/>
      <c r="I23" s="557"/>
      <c r="J23" s="557"/>
      <c r="K23" s="289" t="s">
        <v>726</v>
      </c>
      <c r="L23" s="543"/>
      <c r="AG23" s="1631">
        <v>23</v>
      </c>
    </row>
    <row r="24" ht="19.949999999999999" customHeight="1">
      <c r="D24" s="1638"/>
      <c r="E24" s="1664" t="s">
        <v>727</v>
      </c>
      <c r="F24" s="1650" t="s">
        <v>728</v>
      </c>
      <c r="G24" s="1643" t="s">
        <v>554</v>
      </c>
      <c r="H24" s="557"/>
      <c r="I24" s="557"/>
      <c r="J24" s="557"/>
      <c r="K24" s="289"/>
      <c r="L24" s="543"/>
      <c r="AG24" s="1631">
        <v>19</v>
      </c>
    </row>
    <row r="25" ht="35.649999999999999" customHeight="1">
      <c r="D25" s="1638"/>
      <c r="E25" s="1664" t="s">
        <v>729</v>
      </c>
      <c r="F25" s="1650" t="s">
        <v>730</v>
      </c>
      <c r="G25" s="1643" t="s">
        <v>554</v>
      </c>
      <c r="H25" s="557"/>
      <c r="I25" s="557"/>
      <c r="J25" s="557"/>
      <c r="K25" s="289"/>
      <c r="L25" s="543"/>
      <c r="AG25" s="1631">
        <v>34</v>
      </c>
    </row>
    <row r="26" ht="24" customHeight="1">
      <c r="D26" s="1638"/>
      <c r="E26" s="1664" t="s">
        <v>731</v>
      </c>
      <c r="F26" s="954" t="s">
        <v>732</v>
      </c>
      <c r="G26" s="1643" t="s">
        <v>554</v>
      </c>
      <c r="H26" s="557"/>
      <c r="I26" s="557"/>
      <c r="J26" s="557"/>
      <c r="K26" s="289" t="s">
        <v>733</v>
      </c>
      <c r="L26" s="543"/>
      <c r="AG26" s="1631">
        <v>23</v>
      </c>
    </row>
    <row r="27" ht="19.949999999999999" customHeight="1">
      <c r="D27" s="1638"/>
      <c r="E27" s="1675" t="s">
        <v>734</v>
      </c>
      <c r="F27" s="1650" t="s">
        <v>735</v>
      </c>
      <c r="G27" s="1654" t="s">
        <v>554</v>
      </c>
      <c r="H27" s="1676"/>
      <c r="I27" s="1676"/>
      <c r="J27" s="1676"/>
      <c r="K27" s="289"/>
      <c r="L27" s="543"/>
      <c r="AG27" s="1631">
        <v>19</v>
      </c>
    </row>
    <row r="28" ht="19.949999999999999" customHeight="1">
      <c r="D28" s="1638"/>
      <c r="E28" s="1675" t="s">
        <v>736</v>
      </c>
      <c r="F28" s="1650" t="s">
        <v>737</v>
      </c>
      <c r="G28" s="1654" t="s">
        <v>554</v>
      </c>
      <c r="H28" s="1676"/>
      <c r="I28" s="1676"/>
      <c r="J28" s="1676"/>
      <c r="K28" s="289"/>
      <c r="L28" s="543"/>
      <c r="AG28" s="1631">
        <v>19</v>
      </c>
    </row>
    <row r="29" ht="19.949999999999999" customHeight="1">
      <c r="D29" s="1638"/>
      <c r="E29" s="1675" t="s">
        <v>738</v>
      </c>
      <c r="F29" s="954" t="s">
        <v>739</v>
      </c>
      <c r="G29" s="1654" t="s">
        <v>554</v>
      </c>
      <c r="H29" s="1676"/>
      <c r="I29" s="1676"/>
      <c r="J29" s="1676"/>
      <c r="K29" s="289"/>
      <c r="L29" s="543"/>
      <c r="AG29" s="1631">
        <v>19</v>
      </c>
    </row>
    <row r="30" ht="19.949999999999999" customHeight="1">
      <c r="D30" s="1638"/>
      <c r="E30" s="1675" t="s">
        <v>740</v>
      </c>
      <c r="F30" s="954" t="s">
        <v>741</v>
      </c>
      <c r="G30" s="1654" t="s">
        <v>554</v>
      </c>
      <c r="H30" s="1676"/>
      <c r="I30" s="1676"/>
      <c r="J30" s="1676"/>
      <c r="K30" s="289"/>
      <c r="L30" s="543"/>
      <c r="AG30" s="1631">
        <v>19</v>
      </c>
    </row>
    <row r="31" ht="19.949999999999999" customHeight="1">
      <c r="D31" s="1638"/>
      <c r="E31" s="1675" t="s">
        <v>742</v>
      </c>
      <c r="F31" s="954" t="s">
        <v>743</v>
      </c>
      <c r="G31" s="1654" t="s">
        <v>554</v>
      </c>
      <c r="H31" s="1676"/>
      <c r="I31" s="1676"/>
      <c r="J31" s="1676"/>
      <c r="K31" s="289"/>
      <c r="L31" s="543"/>
      <c r="AG31" s="1631">
        <v>19</v>
      </c>
    </row>
    <row r="32" s="1366" customFormat="1" ht="35.649999999999999" customHeight="1">
      <c r="A32" s="987"/>
      <c r="C32" s="1636"/>
      <c r="D32" s="1638"/>
      <c r="E32" s="1675" t="s">
        <v>744</v>
      </c>
      <c r="F32" s="954" t="s">
        <v>745</v>
      </c>
      <c r="G32" s="1644" t="s">
        <v>554</v>
      </c>
      <c r="H32" s="579">
        <f>SUM(H33:H34)</f>
        <v>0</v>
      </c>
      <c r="I32" s="579">
        <f>SUM(I33:I34)</f>
        <v>0</v>
      </c>
      <c r="J32" s="579">
        <f>SUM(J33:J34)</f>
        <v>0</v>
      </c>
      <c r="K32" s="289" t="s">
        <v>746</v>
      </c>
      <c r="L32" s="543"/>
      <c r="M32" s="1636"/>
      <c r="N32" s="1636"/>
      <c r="S32" s="1636"/>
      <c r="V32" s="544"/>
      <c r="AB32" s="1632"/>
      <c r="AC32" s="1632"/>
      <c r="AD32" s="1632"/>
      <c r="AE32" s="1632"/>
      <c r="AF32" s="1632"/>
      <c r="AG32" s="1160">
        <v>34</v>
      </c>
    </row>
    <row r="33" s="1642" customFormat="1" ht="1.05" customHeight="1">
      <c r="A33" s="1167"/>
      <c r="D33" s="548"/>
      <c r="E33" s="802" t="str">
        <f>E32&amp;".0"</f>
        <v>2.8.0</v>
      </c>
      <c r="F33" s="991"/>
      <c r="G33" s="551"/>
      <c r="H33" s="992"/>
      <c r="I33" s="992"/>
      <c r="J33" s="992"/>
      <c r="K33" s="993"/>
      <c r="AG33" s="1636">
        <v>1</v>
      </c>
    </row>
    <row r="34" s="1366" customFormat="1" ht="19.949999999999999" customHeight="1">
      <c r="A34" s="987"/>
      <c r="C34" s="1636"/>
      <c r="D34" s="1633"/>
      <c r="E34" s="570"/>
      <c r="F34" s="1666" t="s">
        <v>579</v>
      </c>
      <c r="G34" s="572"/>
      <c r="H34" s="573"/>
      <c r="I34" s="573"/>
      <c r="J34" s="2635"/>
      <c r="K34" s="301" t="s">
        <v>747</v>
      </c>
      <c r="L34" s="543"/>
      <c r="M34" s="1636"/>
      <c r="N34" s="1636"/>
      <c r="S34" s="1636"/>
      <c r="V34" s="544"/>
      <c r="AB34" s="1632"/>
      <c r="AC34" s="1632"/>
      <c r="AD34" s="1632"/>
      <c r="AE34" s="1632"/>
      <c r="AF34" s="1632"/>
      <c r="AG34" s="1160">
        <v>19</v>
      </c>
    </row>
    <row r="35" ht="60" customHeight="1">
      <c r="D35" s="1638"/>
      <c r="E35" s="1675" t="s">
        <v>748</v>
      </c>
      <c r="F35" s="954" t="s">
        <v>749</v>
      </c>
      <c r="G35" s="1654" t="s">
        <v>554</v>
      </c>
      <c r="H35" s="1676"/>
      <c r="I35" s="1676"/>
      <c r="J35" s="1676"/>
      <c r="K35" s="289" t="s">
        <v>750</v>
      </c>
      <c r="L35" s="543"/>
      <c r="AG35" s="1631">
        <v>57</v>
      </c>
    </row>
    <row r="36" s="1366" customFormat="1" ht="24" customHeight="1">
      <c r="A36" s="989" t="s">
        <v>580</v>
      </c>
      <c r="C36" s="1636"/>
      <c r="D36" s="1638"/>
      <c r="E36" s="1664" t="s">
        <v>89</v>
      </c>
      <c r="F36" s="707" t="s">
        <v>751</v>
      </c>
      <c r="G36" s="1643" t="s">
        <v>554</v>
      </c>
      <c r="H36" s="557"/>
      <c r="I36" s="557"/>
      <c r="J36" s="557"/>
      <c r="K36" s="289" t="s">
        <v>752</v>
      </c>
      <c r="L36" s="543"/>
      <c r="M36" s="1636"/>
      <c r="N36" s="1636"/>
      <c r="S36" s="1636"/>
      <c r="V36" s="544"/>
      <c r="AB36" s="1632"/>
      <c r="AC36" s="1632"/>
      <c r="AD36" s="1632"/>
      <c r="AE36" s="1632"/>
      <c r="AF36" s="1632"/>
      <c r="AG36" s="1160">
        <v>23</v>
      </c>
    </row>
    <row r="37" s="1366" customFormat="1" ht="35.649999999999999" customHeight="1">
      <c r="A37" s="989"/>
      <c r="C37" s="1636"/>
      <c r="D37" s="1638"/>
      <c r="E37" s="1664" t="s">
        <v>326</v>
      </c>
      <c r="F37" s="954" t="s">
        <v>753</v>
      </c>
      <c r="G37" s="1654"/>
      <c r="H37" s="557"/>
      <c r="I37" s="557"/>
      <c r="J37" s="557"/>
      <c r="K37" s="289"/>
      <c r="L37" s="543"/>
      <c r="M37" s="1636"/>
      <c r="N37" s="1636"/>
      <c r="S37" s="1636"/>
      <c r="V37" s="544"/>
      <c r="AB37" s="1632"/>
      <c r="AC37" s="1632"/>
      <c r="AD37" s="1632"/>
      <c r="AE37" s="1632"/>
      <c r="AF37" s="1632"/>
      <c r="AG37" s="1160">
        <v>34</v>
      </c>
    </row>
    <row r="38" s="1366" customFormat="1" ht="19.949999999999999" customHeight="1">
      <c r="A38" s="987"/>
      <c r="C38" s="1636"/>
      <c r="D38" s="575"/>
      <c r="E38" s="1664" t="s">
        <v>90</v>
      </c>
      <c r="F38" s="707" t="s">
        <v>754</v>
      </c>
      <c r="G38" s="1643" t="s">
        <v>554</v>
      </c>
      <c r="H38" s="557"/>
      <c r="I38" s="557"/>
      <c r="J38" s="557"/>
      <c r="K38" s="289" t="s">
        <v>755</v>
      </c>
      <c r="L38" s="543"/>
      <c r="M38" s="1636"/>
      <c r="N38" s="1636"/>
      <c r="S38" s="1636"/>
      <c r="V38" s="544"/>
      <c r="AB38" s="1632"/>
      <c r="AC38" s="1632"/>
      <c r="AD38" s="1632"/>
      <c r="AE38" s="1632"/>
      <c r="AF38" s="1632"/>
      <c r="AG38" s="1160">
        <v>19</v>
      </c>
    </row>
    <row r="39" s="1366" customFormat="1" ht="24" customHeight="1">
      <c r="A39" s="987"/>
      <c r="C39" s="1636"/>
      <c r="D39" s="575"/>
      <c r="E39" s="1664" t="s">
        <v>756</v>
      </c>
      <c r="F39" s="954" t="s">
        <v>757</v>
      </c>
      <c r="G39" s="1654" t="s">
        <v>554</v>
      </c>
      <c r="H39" s="557"/>
      <c r="I39" s="557"/>
      <c r="J39" s="557"/>
      <c r="K39" s="289" t="s">
        <v>758</v>
      </c>
      <c r="L39" s="543"/>
      <c r="M39" s="1636"/>
      <c r="N39" s="1636"/>
      <c r="S39" s="1636"/>
      <c r="V39" s="544"/>
      <c r="AB39" s="1632"/>
      <c r="AC39" s="1632"/>
      <c r="AD39" s="1632"/>
      <c r="AE39" s="1632"/>
      <c r="AF39" s="1632"/>
      <c r="AG39" s="1160">
        <v>23</v>
      </c>
    </row>
    <row r="40" s="1366" customFormat="1" ht="24" customHeight="1">
      <c r="A40" s="987"/>
      <c r="C40" s="1636"/>
      <c r="D40" s="1638"/>
      <c r="E40" s="1664" t="s">
        <v>759</v>
      </c>
      <c r="F40" s="1650" t="s">
        <v>760</v>
      </c>
      <c r="G40" s="1643" t="s">
        <v>554</v>
      </c>
      <c r="H40" s="557"/>
      <c r="I40" s="557"/>
      <c r="J40" s="557"/>
      <c r="K40" s="289" t="s">
        <v>761</v>
      </c>
      <c r="L40" s="543"/>
      <c r="M40" s="1636"/>
      <c r="N40" s="1636"/>
      <c r="S40" s="1636"/>
      <c r="V40" s="544"/>
      <c r="AB40" s="1632"/>
      <c r="AC40" s="1632"/>
      <c r="AD40" s="1632"/>
      <c r="AE40" s="1632"/>
      <c r="AF40" s="1632"/>
      <c r="AG40" s="1160">
        <v>23</v>
      </c>
    </row>
    <row r="41" s="1366" customFormat="1" ht="24" customHeight="1">
      <c r="A41" s="987"/>
      <c r="C41" s="1636"/>
      <c r="D41" s="1638"/>
      <c r="E41" s="1664" t="s">
        <v>762</v>
      </c>
      <c r="F41" s="1650" t="s">
        <v>763</v>
      </c>
      <c r="G41" s="1643" t="s">
        <v>554</v>
      </c>
      <c r="H41" s="557"/>
      <c r="I41" s="557"/>
      <c r="J41" s="557"/>
      <c r="K41" s="289" t="s">
        <v>764</v>
      </c>
      <c r="L41" s="543"/>
      <c r="M41" s="1636"/>
      <c r="N41" s="1636"/>
      <c r="S41" s="1636"/>
      <c r="V41" s="544"/>
      <c r="AB41" s="1632"/>
      <c r="AC41" s="1632"/>
      <c r="AD41" s="1632"/>
      <c r="AE41" s="1632"/>
      <c r="AF41" s="1632"/>
      <c r="AG41" s="1160">
        <v>23</v>
      </c>
    </row>
    <row r="42" s="1366" customFormat="1" ht="24" customHeight="1">
      <c r="A42" s="987"/>
      <c r="C42" s="1636"/>
      <c r="D42" s="1638"/>
      <c r="E42" s="1664" t="s">
        <v>765</v>
      </c>
      <c r="F42" s="1650" t="s">
        <v>766</v>
      </c>
      <c r="G42" s="1643" t="s">
        <v>554</v>
      </c>
      <c r="H42" s="557"/>
      <c r="I42" s="557"/>
      <c r="J42" s="557"/>
      <c r="K42" s="289" t="s">
        <v>767</v>
      </c>
      <c r="L42" s="543"/>
      <c r="M42" s="1636"/>
      <c r="N42" s="1636"/>
      <c r="S42" s="1636"/>
      <c r="V42" s="544"/>
      <c r="AB42" s="1632"/>
      <c r="AC42" s="1632"/>
      <c r="AD42" s="1632"/>
      <c r="AE42" s="1632"/>
      <c r="AF42" s="1632"/>
      <c r="AG42" s="1160">
        <v>23</v>
      </c>
    </row>
    <row r="43" s="1366" customFormat="1" ht="35.649999999999999" customHeight="1">
      <c r="A43" s="987"/>
      <c r="C43" s="1636" t="s">
        <v>590</v>
      </c>
      <c r="D43" s="1638"/>
      <c r="E43" s="1664" t="s">
        <v>111</v>
      </c>
      <c r="F43" s="707" t="s">
        <v>632</v>
      </c>
      <c r="G43" s="1646" t="s">
        <v>768</v>
      </c>
      <c r="H43" s="401"/>
      <c r="I43" s="401"/>
      <c r="J43" s="818"/>
      <c r="K43" s="289" t="s">
        <v>769</v>
      </c>
      <c r="L43" s="543"/>
      <c r="M43" s="1636"/>
      <c r="N43" s="1636"/>
      <c r="S43" s="1636"/>
      <c r="V43" s="544"/>
      <c r="AB43" s="1632"/>
      <c r="AC43" s="1632"/>
      <c r="AD43" s="1632"/>
      <c r="AE43" s="1632"/>
      <c r="AF43" s="1632"/>
      <c r="AG43" s="1160">
        <v>34</v>
      </c>
    </row>
    <row r="44" s="1366" customFormat="1" ht="35.649999999999999" customHeight="1">
      <c r="A44" s="987"/>
      <c r="C44" s="1636"/>
      <c r="D44" s="1638"/>
      <c r="E44" s="1664" t="s">
        <v>91</v>
      </c>
      <c r="F44" s="707" t="s">
        <v>770</v>
      </c>
      <c r="G44" s="1643" t="s">
        <v>771</v>
      </c>
      <c r="H44" s="545"/>
      <c r="I44" s="545"/>
      <c r="J44" s="545"/>
      <c r="K44" s="289" t="s">
        <v>772</v>
      </c>
      <c r="L44" s="543"/>
      <c r="M44" s="1636"/>
      <c r="N44" s="1636"/>
      <c r="S44" s="1636"/>
      <c r="V44" s="544"/>
      <c r="AB44" s="1632"/>
      <c r="AC44" s="1632"/>
      <c r="AD44" s="1632"/>
      <c r="AE44" s="1632"/>
      <c r="AF44" s="1632"/>
      <c r="AG44" s="1160">
        <v>34</v>
      </c>
    </row>
    <row r="45" s="1366" customFormat="1" ht="24" customHeight="1">
      <c r="A45" s="987"/>
      <c r="C45" s="1636"/>
      <c r="D45" s="1638"/>
      <c r="E45" s="1664" t="s">
        <v>92</v>
      </c>
      <c r="F45" s="707" t="s">
        <v>773</v>
      </c>
      <c r="G45" s="1654" t="s">
        <v>774</v>
      </c>
      <c r="H45" s="545"/>
      <c r="I45" s="545"/>
      <c r="J45" s="545"/>
      <c r="K45" s="289" t="s">
        <v>775</v>
      </c>
      <c r="L45" s="543"/>
      <c r="M45" s="1636"/>
      <c r="N45" s="1636"/>
      <c r="S45" s="1636"/>
      <c r="V45" s="544"/>
      <c r="AB45" s="1632"/>
      <c r="AC45" s="1632"/>
      <c r="AD45" s="1632"/>
      <c r="AE45" s="1632"/>
      <c r="AF45" s="1632"/>
      <c r="AG45" s="1160">
        <v>23</v>
      </c>
    </row>
    <row r="46" s="1366" customFormat="1" ht="19.949999999999999" customHeight="1">
      <c r="A46" s="987"/>
      <c r="C46" s="1636"/>
      <c r="D46" s="1638"/>
      <c r="E46" s="1664" t="s">
        <v>112</v>
      </c>
      <c r="F46" s="707" t="s">
        <v>776</v>
      </c>
      <c r="G46" s="1643" t="s">
        <v>592</v>
      </c>
      <c r="H46" s="577"/>
      <c r="I46" s="577"/>
      <c r="J46" s="577"/>
      <c r="K46" s="289"/>
      <c r="L46" s="543"/>
      <c r="M46" s="1636"/>
      <c r="N46" s="1636"/>
      <c r="S46" s="1636"/>
      <c r="V46" s="544"/>
      <c r="AB46" s="1632"/>
      <c r="AC46" s="1632"/>
      <c r="AD46" s="1632"/>
      <c r="AE46" s="1632"/>
      <c r="AF46" s="1632"/>
      <c r="AG46" s="1160">
        <v>19</v>
      </c>
    </row>
    <row r="47" ht="11.5" customHeight="1">
      <c r="D47" s="1638"/>
      <c r="J47" s="1635"/>
      <c r="AG47" s="1631">
        <v>11</v>
      </c>
    </row>
    <row r="48" s="1641" customFormat="1" ht="11.5" customHeight="1">
      <c r="A48" s="987"/>
      <c r="B48" s="1636"/>
      <c r="C48" s="1636"/>
      <c r="D48" s="351"/>
      <c r="J48" s="1641"/>
      <c r="L48" s="1160"/>
      <c r="M48" s="1636"/>
      <c r="N48" s="1636"/>
      <c r="O48" s="1160"/>
      <c r="P48" s="1160"/>
      <c r="Q48" s="1160"/>
      <c r="R48" s="1160"/>
      <c r="S48" s="1636"/>
      <c r="T48" s="1160"/>
      <c r="U48" s="1160"/>
      <c r="V48" s="544"/>
      <c r="W48" s="1160"/>
      <c r="X48" s="1160"/>
      <c r="Y48" s="1160"/>
      <c r="Z48" s="1160"/>
      <c r="AA48" s="1160"/>
      <c r="AB48" s="1632"/>
      <c r="AC48" s="566"/>
      <c r="AD48" s="566"/>
      <c r="AE48" s="566"/>
      <c r="AF48" s="566"/>
      <c r="AG48" s="1641">
        <v>11</v>
      </c>
    </row>
    <row r="49" s="1641" customFormat="1" ht="11.5" customHeight="1">
      <c r="A49" s="987"/>
      <c r="B49" s="1636"/>
      <c r="C49" s="1636"/>
      <c r="D49" s="351"/>
      <c r="J49" s="1641"/>
      <c r="L49" s="1160"/>
      <c r="M49" s="1636"/>
      <c r="N49" s="1636"/>
      <c r="O49" s="1160"/>
      <c r="P49" s="1160"/>
      <c r="Q49" s="1160"/>
      <c r="R49" s="1160"/>
      <c r="S49" s="1636"/>
      <c r="T49" s="1160"/>
      <c r="U49" s="1160"/>
      <c r="V49" s="544"/>
      <c r="W49" s="1160"/>
      <c r="X49" s="1160"/>
      <c r="Y49" s="1160"/>
      <c r="Z49" s="1160"/>
      <c r="AA49" s="1160"/>
      <c r="AB49" s="1632"/>
      <c r="AC49" s="566"/>
      <c r="AD49" s="566"/>
      <c r="AE49" s="566"/>
      <c r="AF49" s="566"/>
      <c r="AG49" s="1641">
        <v>11</v>
      </c>
    </row>
    <row r="50" s="1641" customFormat="1" ht="11.5" customHeight="1">
      <c r="A50" s="987"/>
      <c r="B50" s="1636"/>
      <c r="C50" s="1636"/>
      <c r="D50" s="351"/>
      <c r="H50" s="566"/>
      <c r="I50" s="566"/>
      <c r="J50" s="622"/>
      <c r="L50" s="1160"/>
      <c r="M50" s="1636"/>
      <c r="N50" s="1636"/>
      <c r="O50" s="1160"/>
      <c r="P50" s="1160"/>
      <c r="Q50" s="1160"/>
      <c r="R50" s="1160"/>
      <c r="S50" s="1636"/>
      <c r="T50" s="1160"/>
      <c r="U50" s="1160"/>
      <c r="V50" s="544"/>
      <c r="W50" s="1160"/>
      <c r="X50" s="1160"/>
      <c r="Y50" s="1160"/>
      <c r="Z50" s="1160"/>
      <c r="AA50" s="1160"/>
      <c r="AB50" s="1632"/>
      <c r="AC50" s="566"/>
      <c r="AD50" s="566"/>
      <c r="AE50" s="566"/>
      <c r="AF50" s="566"/>
      <c r="AG50" s="1641">
        <v>11</v>
      </c>
    </row>
    <row r="51" s="1641" customFormat="1" ht="11.5" customHeight="1">
      <c r="A51" s="987"/>
      <c r="B51" s="1636"/>
      <c r="C51" s="1636"/>
      <c r="D51" s="351"/>
      <c r="J51" s="1641"/>
      <c r="L51" s="1160"/>
      <c r="M51" s="1636"/>
      <c r="N51" s="1636"/>
      <c r="O51" s="1160"/>
      <c r="P51" s="1160"/>
      <c r="Q51" s="1160"/>
      <c r="R51" s="1160"/>
      <c r="S51" s="1636"/>
      <c r="T51" s="1160"/>
      <c r="U51" s="1160"/>
      <c r="V51" s="544"/>
      <c r="W51" s="1160"/>
      <c r="X51" s="1160"/>
      <c r="Y51" s="1160"/>
      <c r="Z51" s="1160"/>
      <c r="AA51" s="1160"/>
      <c r="AB51" s="1632"/>
      <c r="AC51" s="566"/>
      <c r="AD51" s="566"/>
      <c r="AE51" s="566"/>
      <c r="AF51" s="566"/>
      <c r="AG51" s="1641">
        <v>11</v>
      </c>
    </row>
    <row r="52" s="1641" customFormat="1" ht="11.5" customHeight="1">
      <c r="A52" s="987"/>
      <c r="B52" s="1636"/>
      <c r="C52" s="1636"/>
      <c r="D52" s="351"/>
      <c r="J52" s="1641"/>
      <c r="L52" s="1160"/>
      <c r="M52" s="1636"/>
      <c r="N52" s="1636"/>
      <c r="O52" s="1160"/>
      <c r="P52" s="1160"/>
      <c r="Q52" s="1160"/>
      <c r="R52" s="1160"/>
      <c r="S52" s="1636"/>
      <c r="T52" s="1160"/>
      <c r="U52" s="1160"/>
      <c r="V52" s="544"/>
      <c r="W52" s="1160"/>
      <c r="X52" s="1160"/>
      <c r="Y52" s="1160"/>
      <c r="Z52" s="1160"/>
      <c r="AA52" s="1160"/>
      <c r="AB52" s="1632"/>
      <c r="AC52" s="566"/>
      <c r="AD52" s="566"/>
      <c r="AE52" s="566"/>
      <c r="AF52" s="566"/>
      <c r="AG52" s="1641">
        <v>11</v>
      </c>
    </row>
    <row r="53" s="1641" customFormat="1" ht="11.5" customHeight="1">
      <c r="A53" s="987"/>
      <c r="B53" s="1636"/>
      <c r="C53" s="1636"/>
      <c r="D53" s="351"/>
      <c r="J53" s="1641"/>
      <c r="L53" s="1160"/>
      <c r="M53" s="1636"/>
      <c r="N53" s="1636"/>
      <c r="O53" s="1160"/>
      <c r="P53" s="1160"/>
      <c r="Q53" s="1160"/>
      <c r="R53" s="1160"/>
      <c r="S53" s="1636"/>
      <c r="T53" s="1160"/>
      <c r="U53" s="1160"/>
      <c r="V53" s="544"/>
      <c r="W53" s="1160"/>
      <c r="X53" s="1160"/>
      <c r="Y53" s="1160"/>
      <c r="Z53" s="1160"/>
      <c r="AA53" s="1160"/>
      <c r="AB53" s="1632"/>
      <c r="AC53" s="566"/>
      <c r="AD53" s="566"/>
      <c r="AE53" s="566"/>
      <c r="AF53" s="566"/>
      <c r="AG53" s="1641">
        <v>11</v>
      </c>
    </row>
    <row r="54" s="1641" customFormat="1" ht="11.5" customHeight="1">
      <c r="A54" s="987"/>
      <c r="B54" s="1636"/>
      <c r="C54" s="1636"/>
      <c r="D54" s="351"/>
      <c r="J54" s="1641"/>
      <c r="L54" s="1160"/>
      <c r="M54" s="1636"/>
      <c r="N54" s="1636"/>
      <c r="O54" s="1160"/>
      <c r="P54" s="1160"/>
      <c r="Q54" s="1160"/>
      <c r="R54" s="1160"/>
      <c r="S54" s="1636"/>
      <c r="T54" s="1160"/>
      <c r="U54" s="1160"/>
      <c r="V54" s="544"/>
      <c r="W54" s="1160"/>
      <c r="X54" s="1160"/>
      <c r="Y54" s="1160"/>
      <c r="Z54" s="1160"/>
      <c r="AA54" s="1160"/>
      <c r="AB54" s="1632"/>
      <c r="AC54" s="566"/>
      <c r="AD54" s="566"/>
      <c r="AE54" s="566"/>
      <c r="AF54" s="566"/>
      <c r="AG54" s="1641">
        <v>11</v>
      </c>
    </row>
    <row r="55" s="1641" customFormat="1" ht="11.5" customHeight="1">
      <c r="A55" s="987"/>
      <c r="B55" s="1636"/>
      <c r="C55" s="1636"/>
      <c r="D55" s="351"/>
      <c r="J55" s="1641"/>
      <c r="L55" s="1160"/>
      <c r="M55" s="1636"/>
      <c r="N55" s="1636"/>
      <c r="O55" s="1160"/>
      <c r="P55" s="1160"/>
      <c r="Q55" s="1160"/>
      <c r="R55" s="1160"/>
      <c r="S55" s="1636"/>
      <c r="T55" s="1160"/>
      <c r="U55" s="1160"/>
      <c r="V55" s="544"/>
      <c r="W55" s="1160"/>
      <c r="X55" s="1160"/>
      <c r="Y55" s="1160"/>
      <c r="Z55" s="1160"/>
      <c r="AA55" s="1160"/>
      <c r="AB55" s="1632"/>
      <c r="AC55" s="566"/>
      <c r="AD55" s="566"/>
      <c r="AE55" s="566"/>
      <c r="AF55" s="566"/>
      <c r="AG55" s="1641">
        <v>11</v>
      </c>
    </row>
    <row r="56" s="1641" customFormat="1" ht="11.5" customHeight="1">
      <c r="A56" s="987"/>
      <c r="B56" s="1636"/>
      <c r="C56" s="1636"/>
      <c r="D56" s="351"/>
      <c r="J56" s="1641"/>
      <c r="L56" s="1160"/>
      <c r="M56" s="1636"/>
      <c r="N56" s="1636"/>
      <c r="O56" s="1160"/>
      <c r="P56" s="1160"/>
      <c r="Q56" s="1160"/>
      <c r="R56" s="1160"/>
      <c r="S56" s="1636"/>
      <c r="T56" s="1160"/>
      <c r="U56" s="1160"/>
      <c r="V56" s="544"/>
      <c r="W56" s="1160"/>
      <c r="X56" s="1160"/>
      <c r="Y56" s="1160"/>
      <c r="Z56" s="1160"/>
      <c r="AA56" s="1160"/>
      <c r="AB56" s="1632"/>
      <c r="AC56" s="566"/>
      <c r="AD56" s="566"/>
      <c r="AE56" s="566"/>
      <c r="AF56" s="566"/>
      <c r="AG56" s="1641">
        <v>11</v>
      </c>
    </row>
    <row r="57" s="1641" customFormat="1" ht="11.5" customHeight="1">
      <c r="A57" s="987"/>
      <c r="B57" s="1636"/>
      <c r="C57" s="1636"/>
      <c r="D57" s="351"/>
      <c r="J57" s="1641"/>
      <c r="L57" s="1160"/>
      <c r="M57" s="1636"/>
      <c r="N57" s="1636"/>
      <c r="O57" s="1160"/>
      <c r="P57" s="1160"/>
      <c r="Q57" s="1160"/>
      <c r="R57" s="1160"/>
      <c r="S57" s="1636"/>
      <c r="T57" s="1160"/>
      <c r="U57" s="1160"/>
      <c r="V57" s="544"/>
      <c r="W57" s="1160"/>
      <c r="X57" s="1160"/>
      <c r="Y57" s="1160"/>
      <c r="Z57" s="1160"/>
      <c r="AA57" s="1160"/>
      <c r="AB57" s="1632"/>
      <c r="AC57" s="566"/>
      <c r="AD57" s="566"/>
      <c r="AE57" s="566"/>
      <c r="AF57" s="566"/>
      <c r="AG57" s="1641">
        <v>11</v>
      </c>
    </row>
    <row r="58" s="1641" customFormat="1" ht="11.5" customHeight="1">
      <c r="A58" s="987"/>
      <c r="B58" s="1636"/>
      <c r="C58" s="1636"/>
      <c r="D58" s="351"/>
      <c r="J58" s="1641"/>
      <c r="L58" s="1160"/>
      <c r="M58" s="1636"/>
      <c r="N58" s="1636"/>
      <c r="O58" s="1160"/>
      <c r="P58" s="1160"/>
      <c r="Q58" s="1160"/>
      <c r="R58" s="1160"/>
      <c r="S58" s="1636"/>
      <c r="T58" s="1160"/>
      <c r="U58" s="1160"/>
      <c r="V58" s="544"/>
      <c r="W58" s="1160"/>
      <c r="X58" s="1160"/>
      <c r="Y58" s="1160"/>
      <c r="Z58" s="1160"/>
      <c r="AA58" s="1160"/>
      <c r="AB58" s="1632"/>
      <c r="AC58" s="566"/>
      <c r="AD58" s="566"/>
      <c r="AE58" s="566"/>
      <c r="AF58" s="566"/>
      <c r="AG58" s="1641">
        <v>11</v>
      </c>
    </row>
    <row r="59" s="1641" customFormat="1" ht="11.5" customHeight="1">
      <c r="A59" s="987"/>
      <c r="B59" s="1636"/>
      <c r="C59" s="1636"/>
      <c r="D59" s="351"/>
      <c r="J59" s="1641"/>
      <c r="L59" s="1160"/>
      <c r="M59" s="1636"/>
      <c r="N59" s="1636"/>
      <c r="O59" s="1160"/>
      <c r="P59" s="1160"/>
      <c r="Q59" s="1160"/>
      <c r="R59" s="1160"/>
      <c r="S59" s="1636"/>
      <c r="T59" s="1160"/>
      <c r="U59" s="1160"/>
      <c r="V59" s="544"/>
      <c r="W59" s="1160"/>
      <c r="X59" s="1160"/>
      <c r="Y59" s="1160"/>
      <c r="Z59" s="1160"/>
      <c r="AA59" s="1160"/>
      <c r="AB59" s="1632"/>
      <c r="AC59" s="566"/>
      <c r="AD59" s="566"/>
      <c r="AE59" s="566"/>
      <c r="AF59" s="566"/>
      <c r="AG59" s="1641">
        <v>11</v>
      </c>
    </row>
    <row r="60" s="1641" customFormat="1" ht="11.5" customHeight="1">
      <c r="A60" s="987"/>
      <c r="B60" s="1636"/>
      <c r="C60" s="1636"/>
      <c r="D60" s="351"/>
      <c r="J60" s="1641"/>
      <c r="L60" s="1160"/>
      <c r="M60" s="1636"/>
      <c r="N60" s="1636"/>
      <c r="O60" s="1160"/>
      <c r="P60" s="1160"/>
      <c r="Q60" s="1160"/>
      <c r="R60" s="1160"/>
      <c r="S60" s="1636"/>
      <c r="T60" s="1160"/>
      <c r="U60" s="1160"/>
      <c r="V60" s="544"/>
      <c r="W60" s="1160"/>
      <c r="X60" s="1160"/>
      <c r="Y60" s="1160"/>
      <c r="Z60" s="1160"/>
      <c r="AA60" s="1160"/>
      <c r="AB60" s="1632"/>
      <c r="AC60" s="566"/>
      <c r="AD60" s="566"/>
      <c r="AE60" s="566"/>
      <c r="AF60" s="566"/>
      <c r="AG60" s="1641">
        <v>11</v>
      </c>
    </row>
    <row r="61" s="1641" customFormat="1" ht="11.5" customHeight="1">
      <c r="A61" s="987"/>
      <c r="B61" s="1636"/>
      <c r="C61" s="1636"/>
      <c r="D61" s="351"/>
      <c r="J61" s="1641"/>
      <c r="L61" s="1160"/>
      <c r="M61" s="1636"/>
      <c r="N61" s="1636"/>
      <c r="O61" s="1160"/>
      <c r="P61" s="1160"/>
      <c r="Q61" s="1160"/>
      <c r="R61" s="1160"/>
      <c r="S61" s="1636"/>
      <c r="T61" s="1160"/>
      <c r="U61" s="1160"/>
      <c r="V61" s="544"/>
      <c r="W61" s="1160"/>
      <c r="X61" s="1160"/>
      <c r="Y61" s="1160"/>
      <c r="Z61" s="1160"/>
      <c r="AA61" s="1160"/>
      <c r="AB61" s="1632"/>
      <c r="AC61" s="566"/>
      <c r="AD61" s="566"/>
      <c r="AE61" s="566"/>
      <c r="AF61" s="566"/>
      <c r="AG61" s="1641">
        <v>11</v>
      </c>
    </row>
    <row r="62" s="1641" customFormat="1" ht="11.5" customHeight="1">
      <c r="A62" s="987"/>
      <c r="B62" s="1636"/>
      <c r="C62" s="1636"/>
      <c r="D62" s="351"/>
      <c r="J62" s="1641"/>
      <c r="L62" s="1160"/>
      <c r="M62" s="1636"/>
      <c r="N62" s="1636"/>
      <c r="O62" s="1160"/>
      <c r="P62" s="1160"/>
      <c r="Q62" s="1160"/>
      <c r="R62" s="1160"/>
      <c r="S62" s="1636"/>
      <c r="T62" s="1160"/>
      <c r="U62" s="1160"/>
      <c r="V62" s="544"/>
      <c r="W62" s="1160"/>
      <c r="X62" s="1160"/>
      <c r="Y62" s="1160"/>
      <c r="Z62" s="1160"/>
      <c r="AA62" s="1160"/>
      <c r="AB62" s="1632"/>
      <c r="AC62" s="566"/>
      <c r="AD62" s="566"/>
      <c r="AE62" s="566"/>
      <c r="AF62" s="566"/>
      <c r="AG62" s="1641">
        <v>11</v>
      </c>
    </row>
    <row r="63" s="1641" customFormat="1" ht="11.5" customHeight="1">
      <c r="A63" s="987"/>
      <c r="B63" s="1636"/>
      <c r="C63" s="1636"/>
      <c r="D63" s="351"/>
      <c r="J63" s="1641"/>
      <c r="L63" s="1160"/>
      <c r="M63" s="1636"/>
      <c r="N63" s="1636"/>
      <c r="O63" s="1160"/>
      <c r="P63" s="1160"/>
      <c r="Q63" s="1160"/>
      <c r="R63" s="1160"/>
      <c r="S63" s="1636"/>
      <c r="T63" s="1160"/>
      <c r="U63" s="1160"/>
      <c r="V63" s="544"/>
      <c r="W63" s="1160"/>
      <c r="X63" s="1160"/>
      <c r="Y63" s="1160"/>
      <c r="Z63" s="1160"/>
      <c r="AA63" s="1160"/>
      <c r="AB63" s="1632"/>
      <c r="AC63" s="566"/>
      <c r="AD63" s="566"/>
      <c r="AE63" s="566"/>
      <c r="AF63" s="566"/>
      <c r="AG63" s="1641">
        <v>11</v>
      </c>
    </row>
    <row r="64" s="1641" customFormat="1" ht="11.5" customHeight="1">
      <c r="A64" s="987"/>
      <c r="B64" s="1636"/>
      <c r="C64" s="1636"/>
      <c r="D64" s="351"/>
      <c r="J64" s="1641"/>
      <c r="L64" s="1160"/>
      <c r="M64" s="1636"/>
      <c r="N64" s="1636"/>
      <c r="O64" s="1160"/>
      <c r="P64" s="1160"/>
      <c r="Q64" s="1160"/>
      <c r="R64" s="1160"/>
      <c r="S64" s="1636"/>
      <c r="T64" s="1160"/>
      <c r="U64" s="1160"/>
      <c r="V64" s="544"/>
      <c r="W64" s="1160"/>
      <c r="X64" s="1160"/>
      <c r="Y64" s="1160"/>
      <c r="Z64" s="1160"/>
      <c r="AA64" s="1160"/>
      <c r="AB64" s="1632"/>
      <c r="AC64" s="566"/>
      <c r="AD64" s="566"/>
      <c r="AE64" s="566"/>
      <c r="AF64" s="566"/>
      <c r="AG64" s="1641">
        <v>11</v>
      </c>
    </row>
    <row r="65" s="1641" customFormat="1" ht="11.5" customHeight="1">
      <c r="A65" s="987"/>
      <c r="B65" s="1636"/>
      <c r="C65" s="1636"/>
      <c r="D65" s="351"/>
      <c r="J65" s="1641"/>
      <c r="L65" s="1160"/>
      <c r="M65" s="1636"/>
      <c r="N65" s="1636"/>
      <c r="O65" s="1160"/>
      <c r="P65" s="1160"/>
      <c r="Q65" s="1160"/>
      <c r="R65" s="1160"/>
      <c r="S65" s="1636"/>
      <c r="T65" s="1160"/>
      <c r="U65" s="1160"/>
      <c r="V65" s="544"/>
      <c r="W65" s="1160"/>
      <c r="X65" s="1160"/>
      <c r="Y65" s="1160"/>
      <c r="Z65" s="1160"/>
      <c r="AA65" s="1160"/>
      <c r="AB65" s="1632"/>
      <c r="AC65" s="566"/>
      <c r="AD65" s="566"/>
      <c r="AE65" s="566"/>
      <c r="AF65" s="566"/>
      <c r="AG65" s="1641">
        <v>11</v>
      </c>
    </row>
    <row r="66" s="1641" customFormat="1" ht="11.5" customHeight="1">
      <c r="A66" s="987"/>
      <c r="B66" s="1636"/>
      <c r="C66" s="1636"/>
      <c r="D66" s="351"/>
      <c r="J66" s="1641"/>
      <c r="L66" s="1160"/>
      <c r="M66" s="1636"/>
      <c r="N66" s="1636"/>
      <c r="O66" s="1160"/>
      <c r="P66" s="1160"/>
      <c r="Q66" s="1160"/>
      <c r="R66" s="1160"/>
      <c r="S66" s="1636"/>
      <c r="T66" s="1160"/>
      <c r="U66" s="1160"/>
      <c r="V66" s="544"/>
      <c r="W66" s="1160"/>
      <c r="X66" s="1160"/>
      <c r="Y66" s="1160"/>
      <c r="Z66" s="1160"/>
      <c r="AA66" s="1160"/>
      <c r="AB66" s="1632"/>
      <c r="AC66" s="566"/>
      <c r="AD66" s="566"/>
      <c r="AE66" s="566"/>
      <c r="AF66" s="566"/>
      <c r="AG66" s="1641">
        <v>11</v>
      </c>
    </row>
    <row r="67" s="1641" customFormat="1" ht="11.5" customHeight="1">
      <c r="A67" s="987"/>
      <c r="B67" s="1636"/>
      <c r="C67" s="1636"/>
      <c r="D67" s="351"/>
      <c r="J67" s="1641"/>
      <c r="L67" s="1160"/>
      <c r="M67" s="1636"/>
      <c r="N67" s="1636"/>
      <c r="O67" s="1160"/>
      <c r="P67" s="1160"/>
      <c r="Q67" s="1160"/>
      <c r="R67" s="1160"/>
      <c r="S67" s="1636"/>
      <c r="T67" s="1160"/>
      <c r="U67" s="1160"/>
      <c r="V67" s="544"/>
      <c r="W67" s="1160"/>
      <c r="X67" s="1160"/>
      <c r="Y67" s="1160"/>
      <c r="Z67" s="1160"/>
      <c r="AA67" s="1160"/>
      <c r="AB67" s="1632"/>
      <c r="AC67" s="566"/>
      <c r="AD67" s="566"/>
      <c r="AE67" s="566"/>
      <c r="AF67" s="566"/>
      <c r="AG67" s="1641">
        <v>11</v>
      </c>
    </row>
    <row r="68" s="1641" customFormat="1" ht="11.5" customHeight="1">
      <c r="A68" s="987"/>
      <c r="B68" s="1636"/>
      <c r="C68" s="1636"/>
      <c r="D68" s="351"/>
      <c r="J68" s="1641"/>
      <c r="L68" s="1160"/>
      <c r="M68" s="1636"/>
      <c r="N68" s="1636"/>
      <c r="O68" s="1160"/>
      <c r="P68" s="1160"/>
      <c r="Q68" s="1160"/>
      <c r="R68" s="1160"/>
      <c r="S68" s="1636"/>
      <c r="T68" s="1160"/>
      <c r="U68" s="1160"/>
      <c r="V68" s="544"/>
      <c r="W68" s="1160"/>
      <c r="X68" s="1160"/>
      <c r="Y68" s="1160"/>
      <c r="Z68" s="1160"/>
      <c r="AA68" s="1160"/>
      <c r="AB68" s="1632"/>
      <c r="AC68" s="566"/>
      <c r="AD68" s="566"/>
      <c r="AE68" s="566"/>
      <c r="AF68" s="566"/>
      <c r="AG68" s="1641">
        <v>11</v>
      </c>
    </row>
    <row r="69" s="1641" customFormat="1" ht="11.5" customHeight="1">
      <c r="A69" s="987"/>
      <c r="B69" s="1636"/>
      <c r="C69" s="1636"/>
      <c r="D69" s="351"/>
      <c r="J69" s="1641"/>
      <c r="L69" s="1160"/>
      <c r="M69" s="1636"/>
      <c r="N69" s="1636"/>
      <c r="O69" s="1160"/>
      <c r="P69" s="1160"/>
      <c r="Q69" s="1160"/>
      <c r="R69" s="1160"/>
      <c r="S69" s="1636"/>
      <c r="T69" s="1160"/>
      <c r="U69" s="1160"/>
      <c r="V69" s="544"/>
      <c r="W69" s="1160"/>
      <c r="X69" s="1160"/>
      <c r="Y69" s="1160"/>
      <c r="Z69" s="1160"/>
      <c r="AA69" s="1160"/>
      <c r="AB69" s="1632"/>
      <c r="AC69" s="566"/>
      <c r="AD69" s="566"/>
      <c r="AE69" s="566"/>
      <c r="AF69" s="566"/>
      <c r="AG69" s="1641">
        <v>11</v>
      </c>
    </row>
    <row r="70" s="1641" customFormat="1" ht="11.5" customHeight="1">
      <c r="A70" s="987"/>
      <c r="B70" s="1636"/>
      <c r="C70" s="1636"/>
      <c r="D70" s="351"/>
      <c r="J70" s="1641"/>
      <c r="L70" s="1160"/>
      <c r="M70" s="1636"/>
      <c r="N70" s="1636"/>
      <c r="O70" s="1160"/>
      <c r="P70" s="1160"/>
      <c r="Q70" s="1160"/>
      <c r="R70" s="1160"/>
      <c r="S70" s="1636"/>
      <c r="T70" s="1160"/>
      <c r="U70" s="1160"/>
      <c r="V70" s="544"/>
      <c r="W70" s="1160"/>
      <c r="X70" s="1160"/>
      <c r="Y70" s="1160"/>
      <c r="Z70" s="1160"/>
      <c r="AA70" s="1160"/>
      <c r="AB70" s="1632"/>
      <c r="AC70" s="566"/>
      <c r="AD70" s="566"/>
      <c r="AE70" s="566"/>
      <c r="AF70" s="566"/>
      <c r="AG70" s="1641">
        <v>11</v>
      </c>
    </row>
    <row r="71" s="1641" customFormat="1" ht="11.5" customHeight="1">
      <c r="A71" s="987"/>
      <c r="B71" s="1636"/>
      <c r="C71" s="1636"/>
      <c r="D71" s="351"/>
      <c r="J71" s="1641"/>
      <c r="L71" s="1160"/>
      <c r="M71" s="1636"/>
      <c r="N71" s="1636"/>
      <c r="O71" s="1160"/>
      <c r="P71" s="1160"/>
      <c r="Q71" s="1160"/>
      <c r="R71" s="1160"/>
      <c r="S71" s="1636"/>
      <c r="T71" s="1160"/>
      <c r="U71" s="1160"/>
      <c r="V71" s="544"/>
      <c r="W71" s="1160"/>
      <c r="X71" s="1160"/>
      <c r="Y71" s="1160"/>
      <c r="Z71" s="1160"/>
      <c r="AA71" s="1160"/>
      <c r="AB71" s="1632"/>
      <c r="AC71" s="566"/>
      <c r="AD71" s="566"/>
      <c r="AE71" s="566"/>
      <c r="AF71" s="566"/>
      <c r="AG71" s="1641">
        <v>11</v>
      </c>
    </row>
    <row r="72" s="1641" customFormat="1" ht="11.5" customHeight="1">
      <c r="A72" s="987"/>
      <c r="B72" s="1636"/>
      <c r="C72" s="1636"/>
      <c r="D72" s="351"/>
      <c r="J72" s="1641"/>
      <c r="L72" s="1160"/>
      <c r="M72" s="1636"/>
      <c r="N72" s="1636"/>
      <c r="O72" s="1160"/>
      <c r="P72" s="1160"/>
      <c r="Q72" s="1160"/>
      <c r="R72" s="1160"/>
      <c r="S72" s="1636"/>
      <c r="T72" s="1160"/>
      <c r="U72" s="1160"/>
      <c r="V72" s="544"/>
      <c r="W72" s="1160"/>
      <c r="X72" s="1160"/>
      <c r="Y72" s="1160"/>
      <c r="Z72" s="1160"/>
      <c r="AA72" s="1160"/>
      <c r="AB72" s="1632"/>
      <c r="AC72" s="566"/>
      <c r="AD72" s="566"/>
      <c r="AE72" s="566"/>
      <c r="AF72" s="566"/>
      <c r="AG72" s="1641">
        <v>11</v>
      </c>
    </row>
    <row r="73" s="1641" customFormat="1" ht="11.5" customHeight="1">
      <c r="A73" s="987"/>
      <c r="B73" s="1636"/>
      <c r="C73" s="1636"/>
      <c r="D73" s="351"/>
      <c r="J73" s="1641"/>
      <c r="L73" s="1160"/>
      <c r="M73" s="1636"/>
      <c r="N73" s="1636"/>
      <c r="O73" s="1160"/>
      <c r="P73" s="1160"/>
      <c r="Q73" s="1160"/>
      <c r="R73" s="1160"/>
      <c r="S73" s="1636"/>
      <c r="T73" s="1160"/>
      <c r="U73" s="1160"/>
      <c r="V73" s="544"/>
      <c r="W73" s="1160"/>
      <c r="X73" s="1160"/>
      <c r="Y73" s="1160"/>
      <c r="Z73" s="1160"/>
      <c r="AA73" s="1160"/>
      <c r="AB73" s="1632"/>
      <c r="AC73" s="566"/>
      <c r="AD73" s="566"/>
      <c r="AE73" s="566"/>
      <c r="AF73" s="566"/>
      <c r="AG73" s="1641">
        <v>11</v>
      </c>
    </row>
    <row r="74" s="1641" customFormat="1" ht="11.5" customHeight="1">
      <c r="A74" s="987"/>
      <c r="B74" s="1636"/>
      <c r="C74" s="1636"/>
      <c r="D74" s="351"/>
      <c r="J74" s="1641"/>
      <c r="L74" s="1160"/>
      <c r="M74" s="1636"/>
      <c r="N74" s="1636"/>
      <c r="O74" s="1160"/>
      <c r="P74" s="1160"/>
      <c r="Q74" s="1160"/>
      <c r="R74" s="1160"/>
      <c r="S74" s="1636"/>
      <c r="T74" s="1160"/>
      <c r="U74" s="1160"/>
      <c r="V74" s="544"/>
      <c r="W74" s="1160"/>
      <c r="X74" s="1160"/>
      <c r="Y74" s="1160"/>
      <c r="Z74" s="1160"/>
      <c r="AA74" s="1160"/>
      <c r="AB74" s="1632"/>
      <c r="AC74" s="566"/>
      <c r="AD74" s="566"/>
      <c r="AE74" s="566"/>
      <c r="AF74" s="566"/>
      <c r="AG74" s="1641">
        <v>11</v>
      </c>
    </row>
    <row r="75" s="1641" customFormat="1" ht="11.5" customHeight="1">
      <c r="A75" s="987"/>
      <c r="B75" s="1636"/>
      <c r="C75" s="1636"/>
      <c r="D75" s="351"/>
      <c r="J75" s="1641"/>
      <c r="L75" s="1160"/>
      <c r="M75" s="1636"/>
      <c r="N75" s="1636"/>
      <c r="O75" s="1160"/>
      <c r="P75" s="1160"/>
      <c r="Q75" s="1160"/>
      <c r="R75" s="1160"/>
      <c r="S75" s="1636"/>
      <c r="T75" s="1160"/>
      <c r="U75" s="1160"/>
      <c r="V75" s="544"/>
      <c r="W75" s="1160"/>
      <c r="X75" s="1160"/>
      <c r="Y75" s="1160"/>
      <c r="Z75" s="1160"/>
      <c r="AA75" s="1160"/>
      <c r="AB75" s="1632"/>
      <c r="AC75" s="566"/>
      <c r="AD75" s="566"/>
      <c r="AE75" s="566"/>
      <c r="AF75" s="566"/>
      <c r="AG75" s="1641">
        <v>11</v>
      </c>
    </row>
    <row r="76" s="1641" customFormat="1" ht="11.5" customHeight="1">
      <c r="A76" s="987"/>
      <c r="B76" s="1636"/>
      <c r="C76" s="1636"/>
      <c r="D76" s="351"/>
      <c r="J76" s="1641"/>
      <c r="L76" s="1160"/>
      <c r="M76" s="1636"/>
      <c r="N76" s="1636"/>
      <c r="O76" s="1160"/>
      <c r="P76" s="1160"/>
      <c r="Q76" s="1160"/>
      <c r="R76" s="1160"/>
      <c r="S76" s="1636"/>
      <c r="T76" s="1160"/>
      <c r="U76" s="1160"/>
      <c r="V76" s="544"/>
      <c r="W76" s="1160"/>
      <c r="X76" s="1160"/>
      <c r="Y76" s="1160"/>
      <c r="Z76" s="1160"/>
      <c r="AA76" s="1160"/>
      <c r="AB76" s="1632"/>
      <c r="AC76" s="566"/>
      <c r="AD76" s="566"/>
      <c r="AE76" s="566"/>
      <c r="AF76" s="566"/>
      <c r="AG76" s="1641">
        <v>11</v>
      </c>
    </row>
    <row r="77" s="1641" customFormat="1" ht="11.5" customHeight="1">
      <c r="A77" s="987"/>
      <c r="B77" s="1636"/>
      <c r="C77" s="1636"/>
      <c r="D77" s="351"/>
      <c r="J77" s="1641"/>
      <c r="L77" s="1160"/>
      <c r="M77" s="1636"/>
      <c r="N77" s="1636"/>
      <c r="O77" s="1160"/>
      <c r="P77" s="1160"/>
      <c r="Q77" s="1160"/>
      <c r="R77" s="1160"/>
      <c r="S77" s="1636"/>
      <c r="T77" s="1160"/>
      <c r="U77" s="1160"/>
      <c r="V77" s="544"/>
      <c r="W77" s="1160"/>
      <c r="X77" s="1160"/>
      <c r="Y77" s="1160"/>
      <c r="Z77" s="1160"/>
      <c r="AA77" s="1160"/>
      <c r="AB77" s="1632"/>
      <c r="AC77" s="566"/>
      <c r="AD77" s="566"/>
      <c r="AE77" s="566"/>
      <c r="AF77" s="566"/>
      <c r="AG77" s="1641">
        <v>11</v>
      </c>
    </row>
    <row r="78" s="1641" customFormat="1" ht="11.5" customHeight="1">
      <c r="A78" s="987"/>
      <c r="B78" s="1636"/>
      <c r="C78" s="1636"/>
      <c r="D78" s="351"/>
      <c r="J78" s="1641"/>
      <c r="L78" s="1160"/>
      <c r="M78" s="1636"/>
      <c r="N78" s="1636"/>
      <c r="O78" s="1160"/>
      <c r="P78" s="1160"/>
      <c r="Q78" s="1160"/>
      <c r="R78" s="1160"/>
      <c r="S78" s="1636"/>
      <c r="T78" s="1160"/>
      <c r="U78" s="1160"/>
      <c r="V78" s="544"/>
      <c r="W78" s="1160"/>
      <c r="X78" s="1160"/>
      <c r="Y78" s="1160"/>
      <c r="Z78" s="1160"/>
      <c r="AA78" s="1160"/>
      <c r="AB78" s="1632"/>
      <c r="AC78" s="566"/>
      <c r="AD78" s="566"/>
      <c r="AE78" s="566"/>
      <c r="AF78" s="566"/>
      <c r="AG78" s="1641">
        <v>11</v>
      </c>
    </row>
    <row r="79" s="1641" customFormat="1" ht="11.5" customHeight="1">
      <c r="A79" s="987"/>
      <c r="B79" s="1636"/>
      <c r="C79" s="1636"/>
      <c r="D79" s="351"/>
      <c r="J79" s="1641"/>
      <c r="L79" s="1160"/>
      <c r="M79" s="1636"/>
      <c r="N79" s="1636"/>
      <c r="O79" s="1160"/>
      <c r="P79" s="1160"/>
      <c r="Q79" s="1160"/>
      <c r="R79" s="1160"/>
      <c r="S79" s="1636"/>
      <c r="T79" s="1160"/>
      <c r="U79" s="1160"/>
      <c r="V79" s="544"/>
      <c r="W79" s="1160"/>
      <c r="X79" s="1160"/>
      <c r="Y79" s="1160"/>
      <c r="Z79" s="1160"/>
      <c r="AA79" s="1160"/>
      <c r="AB79" s="1632"/>
      <c r="AC79" s="566"/>
      <c r="AD79" s="566"/>
      <c r="AE79" s="566"/>
      <c r="AF79" s="566"/>
      <c r="AG79" s="1641">
        <v>11</v>
      </c>
    </row>
    <row r="80" s="1641" customFormat="1" ht="11.5" customHeight="1">
      <c r="A80" s="987"/>
      <c r="B80" s="1636"/>
      <c r="C80" s="1636"/>
      <c r="D80" s="351"/>
      <c r="J80" s="1641"/>
      <c r="L80" s="1160"/>
      <c r="M80" s="1636"/>
      <c r="N80" s="1636"/>
      <c r="O80" s="1160"/>
      <c r="P80" s="1160"/>
      <c r="Q80" s="1160"/>
      <c r="R80" s="1160"/>
      <c r="S80" s="1636"/>
      <c r="T80" s="1160"/>
      <c r="U80" s="1160"/>
      <c r="V80" s="544"/>
      <c r="W80" s="1160"/>
      <c r="X80" s="1160"/>
      <c r="Y80" s="1160"/>
      <c r="Z80" s="1160"/>
      <c r="AA80" s="1160"/>
      <c r="AB80" s="1632"/>
      <c r="AC80" s="566"/>
      <c r="AD80" s="566"/>
      <c r="AE80" s="566"/>
      <c r="AF80" s="566"/>
      <c r="AG80" s="1641">
        <v>11</v>
      </c>
    </row>
    <row r="81" s="1641" customFormat="1" ht="11.5" customHeight="1">
      <c r="A81" s="987"/>
      <c r="B81" s="1636"/>
      <c r="C81" s="1636"/>
      <c r="D81" s="351"/>
      <c r="J81" s="1641"/>
      <c r="L81" s="1160"/>
      <c r="M81" s="1636"/>
      <c r="N81" s="1636"/>
      <c r="O81" s="1160"/>
      <c r="P81" s="1160"/>
      <c r="Q81" s="1160"/>
      <c r="R81" s="1160"/>
      <c r="S81" s="1636"/>
      <c r="T81" s="1160"/>
      <c r="U81" s="1160"/>
      <c r="V81" s="544"/>
      <c r="W81" s="1160"/>
      <c r="X81" s="1160"/>
      <c r="Y81" s="1160"/>
      <c r="Z81" s="1160"/>
      <c r="AA81" s="1160"/>
      <c r="AB81" s="1632"/>
      <c r="AC81" s="566"/>
      <c r="AD81" s="566"/>
      <c r="AE81" s="566"/>
      <c r="AF81" s="566"/>
      <c r="AG81" s="1641">
        <v>11</v>
      </c>
    </row>
    <row r="82" s="1641" customFormat="1" ht="11.5" customHeight="1">
      <c r="A82" s="987"/>
      <c r="B82" s="1636"/>
      <c r="C82" s="1636"/>
      <c r="D82" s="351"/>
      <c r="J82" s="1641"/>
      <c r="L82" s="1160"/>
      <c r="M82" s="1636"/>
      <c r="N82" s="1636"/>
      <c r="O82" s="1160"/>
      <c r="P82" s="1160"/>
      <c r="Q82" s="1160"/>
      <c r="R82" s="1160"/>
      <c r="S82" s="1636"/>
      <c r="T82" s="1160"/>
      <c r="U82" s="1160"/>
      <c r="V82" s="544"/>
      <c r="W82" s="1160"/>
      <c r="X82" s="1160"/>
      <c r="Y82" s="1160"/>
      <c r="Z82" s="1160"/>
      <c r="AA82" s="1160"/>
      <c r="AB82" s="1632"/>
      <c r="AC82" s="566"/>
      <c r="AD82" s="566"/>
      <c r="AE82" s="566"/>
      <c r="AF82" s="566"/>
      <c r="AG82" s="1641">
        <v>11</v>
      </c>
    </row>
    <row r="83" s="1641" customFormat="1" ht="11.5" customHeight="1">
      <c r="A83" s="987"/>
      <c r="B83" s="1636"/>
      <c r="C83" s="1636"/>
      <c r="D83" s="351"/>
      <c r="J83" s="1641"/>
      <c r="L83" s="1160"/>
      <c r="M83" s="1636"/>
      <c r="N83" s="1636"/>
      <c r="O83" s="1160"/>
      <c r="P83" s="1160"/>
      <c r="Q83" s="1160"/>
      <c r="R83" s="1160"/>
      <c r="S83" s="1636"/>
      <c r="T83" s="1160"/>
      <c r="U83" s="1160"/>
      <c r="V83" s="544"/>
      <c r="W83" s="1160"/>
      <c r="X83" s="1160"/>
      <c r="Y83" s="1160"/>
      <c r="Z83" s="1160"/>
      <c r="AA83" s="1160"/>
      <c r="AB83" s="1632"/>
      <c r="AC83" s="566"/>
      <c r="AD83" s="566"/>
      <c r="AE83" s="566"/>
      <c r="AF83" s="566"/>
      <c r="AG83" s="1641">
        <v>11</v>
      </c>
    </row>
    <row r="84" s="1641" customFormat="1" ht="11.5" customHeight="1">
      <c r="A84" s="987"/>
      <c r="B84" s="1636"/>
      <c r="C84" s="1636"/>
      <c r="D84" s="351"/>
      <c r="J84" s="1641"/>
      <c r="L84" s="1160"/>
      <c r="M84" s="1636"/>
      <c r="N84" s="1636"/>
      <c r="O84" s="1160"/>
      <c r="P84" s="1160"/>
      <c r="Q84" s="1160"/>
      <c r="R84" s="1160"/>
      <c r="S84" s="1636"/>
      <c r="T84" s="1160"/>
      <c r="U84" s="1160"/>
      <c r="V84" s="544"/>
      <c r="W84" s="1160"/>
      <c r="X84" s="1160"/>
      <c r="Y84" s="1160"/>
      <c r="Z84" s="1160"/>
      <c r="AA84" s="1160"/>
      <c r="AB84" s="1632"/>
      <c r="AC84" s="566"/>
      <c r="AD84" s="566"/>
      <c r="AE84" s="566"/>
      <c r="AF84" s="566"/>
      <c r="AG84" s="1641">
        <v>11</v>
      </c>
    </row>
    <row r="85" s="1641" customFormat="1" ht="11.5" customHeight="1">
      <c r="A85" s="987"/>
      <c r="B85" s="1636"/>
      <c r="C85" s="1636"/>
      <c r="D85" s="351"/>
      <c r="J85" s="1641"/>
      <c r="L85" s="1160"/>
      <c r="M85" s="1636"/>
      <c r="N85" s="1636"/>
      <c r="O85" s="1160"/>
      <c r="P85" s="1160"/>
      <c r="Q85" s="1160"/>
      <c r="R85" s="1160"/>
      <c r="S85" s="1636"/>
      <c r="T85" s="1160"/>
      <c r="U85" s="1160"/>
      <c r="V85" s="544"/>
      <c r="W85" s="1160"/>
      <c r="X85" s="1160"/>
      <c r="Y85" s="1160"/>
      <c r="Z85" s="1160"/>
      <c r="AA85" s="1160"/>
      <c r="AB85" s="1632"/>
      <c r="AC85" s="566"/>
      <c r="AD85" s="566"/>
      <c r="AE85" s="566"/>
      <c r="AF85" s="566"/>
      <c r="AG85" s="1641">
        <v>11</v>
      </c>
    </row>
    <row r="86" s="1641" customFormat="1" ht="11.5" customHeight="1">
      <c r="A86" s="987"/>
      <c r="B86" s="1636"/>
      <c r="C86" s="1636"/>
      <c r="D86" s="351"/>
      <c r="J86" s="1641"/>
      <c r="L86" s="1160"/>
      <c r="M86" s="1636"/>
      <c r="N86" s="1636"/>
      <c r="O86" s="1160"/>
      <c r="P86" s="1160"/>
      <c r="Q86" s="1160"/>
      <c r="R86" s="1160"/>
      <c r="S86" s="1636"/>
      <c r="T86" s="1160"/>
      <c r="U86" s="1160"/>
      <c r="V86" s="544"/>
      <c r="W86" s="1160"/>
      <c r="X86" s="1160"/>
      <c r="Y86" s="1160"/>
      <c r="Z86" s="1160"/>
      <c r="AA86" s="1160"/>
      <c r="AB86" s="1632"/>
      <c r="AC86" s="566"/>
      <c r="AD86" s="566"/>
      <c r="AE86" s="566"/>
      <c r="AF86" s="566"/>
      <c r="AG86" s="1641">
        <v>11</v>
      </c>
    </row>
    <row r="87" s="1641" customFormat="1" ht="11.5" customHeight="1">
      <c r="A87" s="987"/>
      <c r="B87" s="1636"/>
      <c r="C87" s="1636"/>
      <c r="D87" s="351"/>
      <c r="J87" s="1641"/>
      <c r="L87" s="1160"/>
      <c r="M87" s="1636"/>
      <c r="N87" s="1636"/>
      <c r="O87" s="1160"/>
      <c r="P87" s="1160"/>
      <c r="Q87" s="1160"/>
      <c r="R87" s="1160"/>
      <c r="S87" s="1636"/>
      <c r="T87" s="1160"/>
      <c r="U87" s="1160"/>
      <c r="V87" s="544"/>
      <c r="W87" s="1160"/>
      <c r="X87" s="1160"/>
      <c r="Y87" s="1160"/>
      <c r="Z87" s="1160"/>
      <c r="AA87" s="1160"/>
      <c r="AB87" s="1632"/>
      <c r="AC87" s="566"/>
      <c r="AD87" s="566"/>
      <c r="AE87" s="566"/>
      <c r="AF87" s="566"/>
      <c r="AG87" s="1641">
        <v>11</v>
      </c>
    </row>
    <row r="88" s="1641" customFormat="1" ht="11.5" customHeight="1">
      <c r="A88" s="987"/>
      <c r="B88" s="1636"/>
      <c r="C88" s="1636"/>
      <c r="D88" s="351"/>
      <c r="J88" s="1641"/>
      <c r="L88" s="1160"/>
      <c r="M88" s="1636"/>
      <c r="N88" s="1636"/>
      <c r="O88" s="1160"/>
      <c r="P88" s="1160"/>
      <c r="Q88" s="1160"/>
      <c r="R88" s="1160"/>
      <c r="S88" s="1636"/>
      <c r="T88" s="1160"/>
      <c r="U88" s="1160"/>
      <c r="V88" s="544"/>
      <c r="W88" s="1160"/>
      <c r="X88" s="1160"/>
      <c r="Y88" s="1160"/>
      <c r="Z88" s="1160"/>
      <c r="AA88" s="1160"/>
      <c r="AB88" s="1632"/>
      <c r="AC88" s="566"/>
      <c r="AD88" s="566"/>
      <c r="AE88" s="566"/>
      <c r="AF88" s="566"/>
      <c r="AG88" s="1641">
        <v>11</v>
      </c>
    </row>
    <row r="89" s="1641" customFormat="1" ht="11.5" customHeight="1">
      <c r="A89" s="987"/>
      <c r="B89" s="1636"/>
      <c r="C89" s="1636"/>
      <c r="D89" s="351"/>
      <c r="J89" s="1641"/>
      <c r="L89" s="1160"/>
      <c r="M89" s="1636"/>
      <c r="N89" s="1636"/>
      <c r="O89" s="1160"/>
      <c r="P89" s="1160"/>
      <c r="Q89" s="1160"/>
      <c r="R89" s="1160"/>
      <c r="S89" s="1636"/>
      <c r="T89" s="1160"/>
      <c r="U89" s="1160"/>
      <c r="V89" s="544"/>
      <c r="W89" s="1160"/>
      <c r="X89" s="1160"/>
      <c r="Y89" s="1160"/>
      <c r="Z89" s="1160"/>
      <c r="AA89" s="1160"/>
      <c r="AB89" s="1632"/>
      <c r="AC89" s="566"/>
      <c r="AD89" s="566"/>
      <c r="AE89" s="566"/>
      <c r="AF89" s="566"/>
      <c r="AG89" s="1641">
        <v>11</v>
      </c>
    </row>
    <row r="90" s="1641" customFormat="1" ht="11.5" customHeight="1">
      <c r="A90" s="987"/>
      <c r="B90" s="1636"/>
      <c r="C90" s="1636"/>
      <c r="D90" s="351"/>
      <c r="J90" s="1641"/>
      <c r="L90" s="1160"/>
      <c r="M90" s="1636"/>
      <c r="N90" s="1636"/>
      <c r="O90" s="1160"/>
      <c r="P90" s="1160"/>
      <c r="Q90" s="1160"/>
      <c r="R90" s="1160"/>
      <c r="S90" s="1636"/>
      <c r="T90" s="1160"/>
      <c r="U90" s="1160"/>
      <c r="V90" s="544"/>
      <c r="W90" s="1160"/>
      <c r="X90" s="1160"/>
      <c r="Y90" s="1160"/>
      <c r="Z90" s="1160"/>
      <c r="AA90" s="1160"/>
      <c r="AB90" s="1632"/>
      <c r="AC90" s="566"/>
      <c r="AD90" s="566"/>
      <c r="AE90" s="566"/>
      <c r="AF90" s="566"/>
      <c r="AG90" s="1641">
        <v>11</v>
      </c>
    </row>
    <row r="91" s="1641" customFormat="1" ht="11.5" customHeight="1">
      <c r="A91" s="987"/>
      <c r="B91" s="1636"/>
      <c r="C91" s="1636"/>
      <c r="D91" s="351"/>
      <c r="J91" s="1641"/>
      <c r="L91" s="1160"/>
      <c r="M91" s="1636"/>
      <c r="N91" s="1636"/>
      <c r="O91" s="1160"/>
      <c r="P91" s="1160"/>
      <c r="Q91" s="1160"/>
      <c r="R91" s="1160"/>
      <c r="S91" s="1636"/>
      <c r="T91" s="1160"/>
      <c r="U91" s="1160"/>
      <c r="V91" s="544"/>
      <c r="W91" s="1160"/>
      <c r="X91" s="1160"/>
      <c r="Y91" s="1160"/>
      <c r="Z91" s="1160"/>
      <c r="AA91" s="1160"/>
      <c r="AB91" s="1632"/>
      <c r="AC91" s="566"/>
      <c r="AD91" s="566"/>
      <c r="AE91" s="566"/>
      <c r="AF91" s="566"/>
      <c r="AG91" s="1641">
        <v>11</v>
      </c>
    </row>
    <row r="92" s="1641" customFormat="1" ht="11.5" customHeight="1">
      <c r="A92" s="987"/>
      <c r="B92" s="1636"/>
      <c r="C92" s="1636"/>
      <c r="D92" s="351"/>
      <c r="J92" s="1641"/>
      <c r="L92" s="1160"/>
      <c r="M92" s="1636"/>
      <c r="N92" s="1636"/>
      <c r="O92" s="1160"/>
      <c r="P92" s="1160"/>
      <c r="Q92" s="1160"/>
      <c r="R92" s="1160"/>
      <c r="S92" s="1636"/>
      <c r="T92" s="1160"/>
      <c r="U92" s="1160"/>
      <c r="V92" s="544"/>
      <c r="W92" s="1160"/>
      <c r="X92" s="1160"/>
      <c r="Y92" s="1160"/>
      <c r="Z92" s="1160"/>
      <c r="AA92" s="1160"/>
      <c r="AB92" s="1632"/>
      <c r="AC92" s="566"/>
      <c r="AD92" s="566"/>
      <c r="AE92" s="566"/>
      <c r="AF92" s="566"/>
      <c r="AG92" s="1641">
        <v>11</v>
      </c>
    </row>
    <row r="93" s="1641" customFormat="1" ht="11.5" customHeight="1">
      <c r="A93" s="987"/>
      <c r="B93" s="1636"/>
      <c r="C93" s="1636"/>
      <c r="D93" s="351"/>
      <c r="J93" s="1641"/>
      <c r="L93" s="1160"/>
      <c r="M93" s="1636"/>
      <c r="N93" s="1636"/>
      <c r="O93" s="1160"/>
      <c r="P93" s="1160"/>
      <c r="Q93" s="1160"/>
      <c r="R93" s="1160"/>
      <c r="S93" s="1636"/>
      <c r="T93" s="1160"/>
      <c r="U93" s="1160"/>
      <c r="V93" s="544"/>
      <c r="W93" s="1160"/>
      <c r="X93" s="1160"/>
      <c r="Y93" s="1160"/>
      <c r="Z93" s="1160"/>
      <c r="AA93" s="1160"/>
      <c r="AB93" s="1632"/>
      <c r="AC93" s="566"/>
      <c r="AD93" s="566"/>
      <c r="AE93" s="566"/>
      <c r="AF93" s="566"/>
      <c r="AG93" s="1641">
        <v>11</v>
      </c>
    </row>
    <row r="94" s="1641" customFormat="1" ht="11.5" customHeight="1">
      <c r="A94" s="987"/>
      <c r="B94" s="1636"/>
      <c r="C94" s="1636"/>
      <c r="D94" s="351"/>
      <c r="J94" s="1641"/>
      <c r="L94" s="1160"/>
      <c r="M94" s="1636"/>
      <c r="N94" s="1636"/>
      <c r="O94" s="1160"/>
      <c r="P94" s="1160"/>
      <c r="Q94" s="1160"/>
      <c r="R94" s="1160"/>
      <c r="S94" s="1636"/>
      <c r="T94" s="1160"/>
      <c r="U94" s="1160"/>
      <c r="V94" s="544"/>
      <c r="W94" s="1160"/>
      <c r="X94" s="1160"/>
      <c r="Y94" s="1160"/>
      <c r="Z94" s="1160"/>
      <c r="AA94" s="1160"/>
      <c r="AB94" s="1632"/>
      <c r="AC94" s="566"/>
      <c r="AD94" s="566"/>
      <c r="AE94" s="566"/>
      <c r="AF94" s="566"/>
      <c r="AG94" s="1641">
        <v>11</v>
      </c>
    </row>
    <row r="95" s="1641" customFormat="1" ht="11.5" customHeight="1">
      <c r="A95" s="987"/>
      <c r="B95" s="1636"/>
      <c r="C95" s="1636"/>
      <c r="D95" s="351"/>
      <c r="J95" s="1641"/>
      <c r="L95" s="1160"/>
      <c r="M95" s="1636"/>
      <c r="N95" s="1636"/>
      <c r="O95" s="1160"/>
      <c r="P95" s="1160"/>
      <c r="Q95" s="1160"/>
      <c r="R95" s="1160"/>
      <c r="S95" s="1636"/>
      <c r="T95" s="1160"/>
      <c r="U95" s="1160"/>
      <c r="V95" s="544"/>
      <c r="W95" s="1160"/>
      <c r="X95" s="1160"/>
      <c r="Y95" s="1160"/>
      <c r="Z95" s="1160"/>
      <c r="AA95" s="1160"/>
      <c r="AB95" s="1632"/>
      <c r="AC95" s="566"/>
      <c r="AD95" s="566"/>
      <c r="AE95" s="566"/>
      <c r="AF95" s="566"/>
      <c r="AG95" s="1641">
        <v>11</v>
      </c>
    </row>
    <row r="96" s="1641" customFormat="1" ht="11.5" customHeight="1">
      <c r="A96" s="987"/>
      <c r="B96" s="1636"/>
      <c r="C96" s="1636"/>
      <c r="D96" s="351"/>
      <c r="J96" s="1641"/>
      <c r="L96" s="1160"/>
      <c r="M96" s="1636"/>
      <c r="N96" s="1636"/>
      <c r="O96" s="1160"/>
      <c r="P96" s="1160"/>
      <c r="Q96" s="1160"/>
      <c r="R96" s="1160"/>
      <c r="S96" s="1636"/>
      <c r="T96" s="1160"/>
      <c r="U96" s="1160"/>
      <c r="V96" s="544"/>
      <c r="W96" s="1160"/>
      <c r="X96" s="1160"/>
      <c r="Y96" s="1160"/>
      <c r="Z96" s="1160"/>
      <c r="AA96" s="1160"/>
      <c r="AB96" s="1632"/>
      <c r="AC96" s="566"/>
      <c r="AD96" s="566"/>
      <c r="AE96" s="566"/>
      <c r="AF96" s="566"/>
      <c r="AG96" s="1641">
        <v>11</v>
      </c>
    </row>
    <row r="97" s="1641" customFormat="1" ht="11.5" customHeight="1">
      <c r="A97" s="987"/>
      <c r="B97" s="1636"/>
      <c r="C97" s="1636"/>
      <c r="D97" s="351"/>
      <c r="J97" s="1641"/>
      <c r="L97" s="1160"/>
      <c r="M97" s="1636"/>
      <c r="N97" s="1636"/>
      <c r="O97" s="1160"/>
      <c r="P97" s="1160"/>
      <c r="Q97" s="1160"/>
      <c r="R97" s="1160"/>
      <c r="S97" s="1636"/>
      <c r="T97" s="1160"/>
      <c r="U97" s="1160"/>
      <c r="V97" s="544"/>
      <c r="W97" s="1160"/>
      <c r="X97" s="1160"/>
      <c r="Y97" s="1160"/>
      <c r="Z97" s="1160"/>
      <c r="AA97" s="1160"/>
      <c r="AB97" s="1632"/>
      <c r="AC97" s="566"/>
      <c r="AD97" s="566"/>
      <c r="AE97" s="566"/>
      <c r="AF97" s="566"/>
      <c r="AG97" s="1641">
        <v>11</v>
      </c>
    </row>
    <row r="98" s="1641" customFormat="1" ht="11.5" customHeight="1">
      <c r="A98" s="987"/>
      <c r="B98" s="1636"/>
      <c r="C98" s="1636"/>
      <c r="D98" s="351"/>
      <c r="J98" s="1641"/>
      <c r="L98" s="1160"/>
      <c r="M98" s="1636"/>
      <c r="N98" s="1636"/>
      <c r="O98" s="1160"/>
      <c r="P98" s="1160"/>
      <c r="Q98" s="1160"/>
      <c r="R98" s="1160"/>
      <c r="S98" s="1636"/>
      <c r="T98" s="1160"/>
      <c r="U98" s="1160"/>
      <c r="V98" s="544"/>
      <c r="W98" s="1160"/>
      <c r="X98" s="1160"/>
      <c r="Y98" s="1160"/>
      <c r="Z98" s="1160"/>
      <c r="AA98" s="1160"/>
      <c r="AB98" s="1632"/>
      <c r="AC98" s="566"/>
      <c r="AD98" s="566"/>
      <c r="AE98" s="566"/>
      <c r="AF98" s="566"/>
      <c r="AG98" s="1641">
        <v>11</v>
      </c>
    </row>
    <row r="99" s="1641" customFormat="1" ht="11.5" customHeight="1">
      <c r="A99" s="987"/>
      <c r="B99" s="1636"/>
      <c r="C99" s="1636"/>
      <c r="D99" s="351"/>
      <c r="J99" s="1641"/>
      <c r="L99" s="1160"/>
      <c r="M99" s="1636"/>
      <c r="N99" s="1636"/>
      <c r="O99" s="1160"/>
      <c r="P99" s="1160"/>
      <c r="Q99" s="1160"/>
      <c r="R99" s="1160"/>
      <c r="S99" s="1636"/>
      <c r="T99" s="1160"/>
      <c r="U99" s="1160"/>
      <c r="V99" s="544"/>
      <c r="W99" s="1160"/>
      <c r="X99" s="1160"/>
      <c r="Y99" s="1160"/>
      <c r="Z99" s="1160"/>
      <c r="AA99" s="1160"/>
      <c r="AB99" s="1632"/>
      <c r="AC99" s="566"/>
      <c r="AD99" s="566"/>
      <c r="AE99" s="566"/>
      <c r="AF99" s="566"/>
      <c r="AG99" s="1641">
        <v>11</v>
      </c>
    </row>
    <row r="100" s="1641" customFormat="1" ht="11.5" customHeight="1">
      <c r="A100" s="987"/>
      <c r="B100" s="1636"/>
      <c r="C100" s="1636"/>
      <c r="D100" s="351"/>
      <c r="J100" s="1641"/>
      <c r="L100" s="1160"/>
      <c r="M100" s="1636"/>
      <c r="N100" s="1636"/>
      <c r="O100" s="1160"/>
      <c r="P100" s="1160"/>
      <c r="Q100" s="1160"/>
      <c r="R100" s="1160"/>
      <c r="S100" s="1636"/>
      <c r="T100" s="1160"/>
      <c r="U100" s="1160"/>
      <c r="V100" s="544"/>
      <c r="W100" s="1160"/>
      <c r="X100" s="1160"/>
      <c r="Y100" s="1160"/>
      <c r="Z100" s="1160"/>
      <c r="AA100" s="1160"/>
      <c r="AB100" s="1632"/>
      <c r="AC100" s="566"/>
      <c r="AD100" s="566"/>
      <c r="AE100" s="566"/>
      <c r="AF100" s="566"/>
      <c r="AG100" s="1641">
        <v>11</v>
      </c>
    </row>
    <row r="101" s="1641" customFormat="1" ht="11.5" customHeight="1">
      <c r="A101" s="987"/>
      <c r="B101" s="1636"/>
      <c r="C101" s="1636"/>
      <c r="D101" s="351"/>
      <c r="J101" s="1641"/>
      <c r="L101" s="1160"/>
      <c r="M101" s="1636"/>
      <c r="N101" s="1636"/>
      <c r="O101" s="1160"/>
      <c r="P101" s="1160"/>
      <c r="Q101" s="1160"/>
      <c r="R101" s="1160"/>
      <c r="S101" s="1636"/>
      <c r="T101" s="1160"/>
      <c r="U101" s="1160"/>
      <c r="V101" s="544"/>
      <c r="W101" s="1160"/>
      <c r="X101" s="1160"/>
      <c r="Y101" s="1160"/>
      <c r="Z101" s="1160"/>
      <c r="AA101" s="1160"/>
      <c r="AB101" s="1632"/>
      <c r="AC101" s="566"/>
      <c r="AD101" s="566"/>
      <c r="AE101" s="566"/>
      <c r="AF101" s="566"/>
      <c r="AG101" s="1641">
        <v>11</v>
      </c>
    </row>
    <row r="102" s="1641" customFormat="1" ht="11.5" customHeight="1">
      <c r="A102" s="987"/>
      <c r="B102" s="1636"/>
      <c r="C102" s="1636"/>
      <c r="D102" s="351"/>
      <c r="J102" s="1641"/>
      <c r="L102" s="1160"/>
      <c r="M102" s="1636"/>
      <c r="N102" s="1636"/>
      <c r="O102" s="1160"/>
      <c r="P102" s="1160"/>
      <c r="Q102" s="1160"/>
      <c r="R102" s="1160"/>
      <c r="S102" s="1636"/>
      <c r="T102" s="1160"/>
      <c r="U102" s="1160"/>
      <c r="V102" s="544"/>
      <c r="W102" s="1160"/>
      <c r="X102" s="1160"/>
      <c r="Y102" s="1160"/>
      <c r="Z102" s="1160"/>
      <c r="AA102" s="1160"/>
      <c r="AB102" s="1632"/>
      <c r="AC102" s="566"/>
      <c r="AD102" s="566"/>
      <c r="AE102" s="566"/>
      <c r="AF102" s="566"/>
      <c r="AG102" s="1641">
        <v>11</v>
      </c>
    </row>
    <row r="103" s="1641" customFormat="1" ht="11.5" customHeight="1">
      <c r="A103" s="987"/>
      <c r="B103" s="1636"/>
      <c r="C103" s="1636"/>
      <c r="D103" s="351"/>
      <c r="J103" s="1641"/>
      <c r="L103" s="1160"/>
      <c r="M103" s="1636"/>
      <c r="N103" s="1636"/>
      <c r="O103" s="1160"/>
      <c r="P103" s="1160"/>
      <c r="Q103" s="1160"/>
      <c r="R103" s="1160"/>
      <c r="S103" s="1636"/>
      <c r="T103" s="1160"/>
      <c r="U103" s="1160"/>
      <c r="V103" s="544"/>
      <c r="W103" s="1160"/>
      <c r="X103" s="1160"/>
      <c r="Y103" s="1160"/>
      <c r="Z103" s="1160"/>
      <c r="AA103" s="1160"/>
      <c r="AB103" s="1632"/>
      <c r="AC103" s="566"/>
      <c r="AD103" s="566"/>
      <c r="AE103" s="566"/>
      <c r="AF103" s="566"/>
      <c r="AG103" s="1641">
        <v>11</v>
      </c>
    </row>
    <row r="104" s="1641" customFormat="1" ht="11.5" customHeight="1">
      <c r="A104" s="987"/>
      <c r="B104" s="1636"/>
      <c r="C104" s="1636"/>
      <c r="D104" s="351"/>
      <c r="J104" s="1641"/>
      <c r="L104" s="1160"/>
      <c r="M104" s="1636"/>
      <c r="N104" s="1636"/>
      <c r="O104" s="1160"/>
      <c r="P104" s="1160"/>
      <c r="Q104" s="1160"/>
      <c r="R104" s="1160"/>
      <c r="S104" s="1636"/>
      <c r="T104" s="1160"/>
      <c r="U104" s="1160"/>
      <c r="V104" s="544"/>
      <c r="W104" s="1160"/>
      <c r="X104" s="1160"/>
      <c r="Y104" s="1160"/>
      <c r="Z104" s="1160"/>
      <c r="AA104" s="1160"/>
      <c r="AB104" s="1632"/>
      <c r="AC104" s="566"/>
      <c r="AD104" s="566"/>
      <c r="AE104" s="566"/>
      <c r="AF104" s="566"/>
      <c r="AG104" s="1641">
        <v>11</v>
      </c>
    </row>
    <row r="105" s="1641" customFormat="1" ht="11.5" customHeight="1">
      <c r="A105" s="987"/>
      <c r="B105" s="1636"/>
      <c r="C105" s="1636"/>
      <c r="D105" s="351"/>
      <c r="J105" s="1641"/>
      <c r="L105" s="1160"/>
      <c r="M105" s="1636"/>
      <c r="N105" s="1636"/>
      <c r="O105" s="1160"/>
      <c r="P105" s="1160"/>
      <c r="Q105" s="1160"/>
      <c r="R105" s="1160"/>
      <c r="S105" s="1636"/>
      <c r="T105" s="1160"/>
      <c r="U105" s="1160"/>
      <c r="V105" s="544"/>
      <c r="W105" s="1160"/>
      <c r="X105" s="1160"/>
      <c r="Y105" s="1160"/>
      <c r="Z105" s="1160"/>
      <c r="AA105" s="1160"/>
      <c r="AB105" s="1632"/>
      <c r="AC105" s="566"/>
      <c r="AD105" s="566"/>
      <c r="AE105" s="566"/>
      <c r="AF105" s="566"/>
      <c r="AG105" s="1641">
        <v>11</v>
      </c>
    </row>
    <row r="106" s="1641" customFormat="1" ht="11.5" customHeight="1">
      <c r="A106" s="987"/>
      <c r="B106" s="1636"/>
      <c r="C106" s="1636"/>
      <c r="D106" s="351"/>
      <c r="J106" s="1641"/>
      <c r="L106" s="1160"/>
      <c r="M106" s="1636"/>
      <c r="N106" s="1636"/>
      <c r="O106" s="1160"/>
      <c r="P106" s="1160"/>
      <c r="Q106" s="1160"/>
      <c r="R106" s="1160"/>
      <c r="S106" s="1636"/>
      <c r="T106" s="1160"/>
      <c r="U106" s="1160"/>
      <c r="V106" s="544"/>
      <c r="W106" s="1160"/>
      <c r="X106" s="1160"/>
      <c r="Y106" s="1160"/>
      <c r="Z106" s="1160"/>
      <c r="AA106" s="1160"/>
      <c r="AB106" s="1632"/>
      <c r="AC106" s="566"/>
      <c r="AD106" s="566"/>
      <c r="AE106" s="566"/>
      <c r="AF106" s="566"/>
      <c r="AG106" s="1641">
        <v>11</v>
      </c>
    </row>
    <row r="107" s="1641" customFormat="1" ht="11.5" customHeight="1">
      <c r="A107" s="987"/>
      <c r="B107" s="1636"/>
      <c r="C107" s="1636"/>
      <c r="D107" s="351"/>
      <c r="J107" s="1641"/>
      <c r="L107" s="1160"/>
      <c r="M107" s="1636"/>
      <c r="N107" s="1636"/>
      <c r="O107" s="1160"/>
      <c r="P107" s="1160"/>
      <c r="Q107" s="1160"/>
      <c r="R107" s="1160"/>
      <c r="S107" s="1636"/>
      <c r="T107" s="1160"/>
      <c r="U107" s="1160"/>
      <c r="V107" s="544"/>
      <c r="W107" s="1160"/>
      <c r="X107" s="1160"/>
      <c r="Y107" s="1160"/>
      <c r="Z107" s="1160"/>
      <c r="AA107" s="1160"/>
      <c r="AB107" s="1632"/>
      <c r="AC107" s="566"/>
      <c r="AD107" s="566"/>
      <c r="AE107" s="566"/>
      <c r="AF107" s="566"/>
      <c r="AG107" s="1641">
        <v>11</v>
      </c>
    </row>
    <row r="108" s="1641" customFormat="1" ht="11.5" customHeight="1">
      <c r="A108" s="987"/>
      <c r="B108" s="1636"/>
      <c r="C108" s="1636"/>
      <c r="D108" s="351"/>
      <c r="J108" s="1641"/>
      <c r="L108" s="1160"/>
      <c r="M108" s="1636"/>
      <c r="N108" s="1636"/>
      <c r="O108" s="1160"/>
      <c r="P108" s="1160"/>
      <c r="Q108" s="1160"/>
      <c r="R108" s="1160"/>
      <c r="S108" s="1636"/>
      <c r="T108" s="1160"/>
      <c r="U108" s="1160"/>
      <c r="V108" s="544"/>
      <c r="W108" s="1160"/>
      <c r="X108" s="1160"/>
      <c r="Y108" s="1160"/>
      <c r="Z108" s="1160"/>
      <c r="AA108" s="1160"/>
      <c r="AB108" s="1632"/>
      <c r="AC108" s="566"/>
      <c r="AD108" s="566"/>
      <c r="AE108" s="566"/>
      <c r="AF108" s="566"/>
      <c r="AG108" s="1641">
        <v>11</v>
      </c>
    </row>
    <row r="109" s="1641" customFormat="1" ht="11.5" customHeight="1">
      <c r="A109" s="987"/>
      <c r="B109" s="1636"/>
      <c r="C109" s="1636"/>
      <c r="D109" s="351"/>
      <c r="J109" s="1641"/>
      <c r="L109" s="1160"/>
      <c r="M109" s="1636"/>
      <c r="N109" s="1636"/>
      <c r="O109" s="1160"/>
      <c r="P109" s="1160"/>
      <c r="Q109" s="1160"/>
      <c r="R109" s="1160"/>
      <c r="S109" s="1636"/>
      <c r="T109" s="1160"/>
      <c r="U109" s="1160"/>
      <c r="V109" s="544"/>
      <c r="W109" s="1160"/>
      <c r="X109" s="1160"/>
      <c r="Y109" s="1160"/>
      <c r="Z109" s="1160"/>
      <c r="AA109" s="1160"/>
      <c r="AB109" s="1632"/>
      <c r="AC109" s="566"/>
      <c r="AD109" s="566"/>
      <c r="AE109" s="566"/>
      <c r="AF109" s="566"/>
      <c r="AG109" s="1641">
        <v>11</v>
      </c>
    </row>
    <row r="110" s="1641" customFormat="1" ht="11.5" customHeight="1">
      <c r="A110" s="987"/>
      <c r="B110" s="1636"/>
      <c r="C110" s="1636"/>
      <c r="D110" s="351"/>
      <c r="J110" s="1641"/>
      <c r="L110" s="1160"/>
      <c r="M110" s="1636"/>
      <c r="N110" s="1636"/>
      <c r="O110" s="1160"/>
      <c r="P110" s="1160"/>
      <c r="Q110" s="1160"/>
      <c r="R110" s="1160"/>
      <c r="S110" s="1636"/>
      <c r="T110" s="1160"/>
      <c r="U110" s="1160"/>
      <c r="V110" s="544"/>
      <c r="W110" s="1160"/>
      <c r="X110" s="1160"/>
      <c r="Y110" s="1160"/>
      <c r="Z110" s="1160"/>
      <c r="AA110" s="1160"/>
      <c r="AB110" s="1632"/>
      <c r="AC110" s="566"/>
      <c r="AD110" s="566"/>
      <c r="AE110" s="566"/>
      <c r="AF110" s="566"/>
      <c r="AG110" s="1641">
        <v>11</v>
      </c>
    </row>
    <row r="111" s="1641" customFormat="1" ht="11.5" customHeight="1">
      <c r="A111" s="987"/>
      <c r="B111" s="1636"/>
      <c r="C111" s="1636"/>
      <c r="D111" s="351"/>
      <c r="J111" s="1641"/>
      <c r="L111" s="1160"/>
      <c r="M111" s="1636"/>
      <c r="N111" s="1636"/>
      <c r="O111" s="1160"/>
      <c r="P111" s="1160"/>
      <c r="Q111" s="1160"/>
      <c r="R111" s="1160"/>
      <c r="S111" s="1636"/>
      <c r="T111" s="1160"/>
      <c r="U111" s="1160"/>
      <c r="V111" s="544"/>
      <c r="W111" s="1160"/>
      <c r="X111" s="1160"/>
      <c r="Y111" s="1160"/>
      <c r="Z111" s="1160"/>
      <c r="AA111" s="1160"/>
      <c r="AB111" s="1632"/>
      <c r="AC111" s="566"/>
      <c r="AD111" s="566"/>
      <c r="AE111" s="566"/>
      <c r="AF111" s="566"/>
      <c r="AG111" s="1641">
        <v>11</v>
      </c>
    </row>
    <row r="112" s="1641" customFormat="1" ht="11.5" customHeight="1">
      <c r="A112" s="987"/>
      <c r="B112" s="1636"/>
      <c r="C112" s="1636"/>
      <c r="D112" s="351"/>
      <c r="J112" s="1641"/>
      <c r="L112" s="1160"/>
      <c r="M112" s="1636"/>
      <c r="N112" s="1636"/>
      <c r="O112" s="1160"/>
      <c r="P112" s="1160"/>
      <c r="Q112" s="1160"/>
      <c r="R112" s="1160"/>
      <c r="S112" s="1636"/>
      <c r="T112" s="1160"/>
      <c r="U112" s="1160"/>
      <c r="V112" s="544"/>
      <c r="W112" s="1160"/>
      <c r="X112" s="1160"/>
      <c r="Y112" s="1160"/>
      <c r="Z112" s="1160"/>
      <c r="AA112" s="1160"/>
      <c r="AB112" s="1632"/>
      <c r="AC112" s="566"/>
      <c r="AD112" s="566"/>
      <c r="AE112" s="566"/>
      <c r="AF112" s="566"/>
      <c r="AG112" s="1641">
        <v>11</v>
      </c>
    </row>
    <row r="113" s="1641" customFormat="1" ht="11.5" customHeight="1">
      <c r="A113" s="987"/>
      <c r="B113" s="1636"/>
      <c r="C113" s="1636"/>
      <c r="D113" s="351"/>
      <c r="J113" s="1641"/>
      <c r="L113" s="1160"/>
      <c r="M113" s="1636"/>
      <c r="N113" s="1636"/>
      <c r="O113" s="1160"/>
      <c r="P113" s="1160"/>
      <c r="Q113" s="1160"/>
      <c r="R113" s="1160"/>
      <c r="S113" s="1636"/>
      <c r="T113" s="1160"/>
      <c r="U113" s="1160"/>
      <c r="V113" s="544"/>
      <c r="W113" s="1160"/>
      <c r="X113" s="1160"/>
      <c r="Y113" s="1160"/>
      <c r="Z113" s="1160"/>
      <c r="AA113" s="1160"/>
      <c r="AB113" s="1632"/>
      <c r="AC113" s="566"/>
      <c r="AD113" s="566"/>
      <c r="AE113" s="566"/>
      <c r="AF113" s="566"/>
      <c r="AG113" s="1641">
        <v>11</v>
      </c>
    </row>
    <row r="114" s="1641" customFormat="1" ht="11.5" customHeight="1">
      <c r="A114" s="987"/>
      <c r="B114" s="1636"/>
      <c r="C114" s="1636"/>
      <c r="D114" s="351"/>
      <c r="J114" s="1641"/>
      <c r="L114" s="1160"/>
      <c r="M114" s="1636"/>
      <c r="N114" s="1636"/>
      <c r="O114" s="1160"/>
      <c r="P114" s="1160"/>
      <c r="Q114" s="1160"/>
      <c r="R114" s="1160"/>
      <c r="S114" s="1636"/>
      <c r="T114" s="1160"/>
      <c r="U114" s="1160"/>
      <c r="V114" s="544"/>
      <c r="W114" s="1160"/>
      <c r="X114" s="1160"/>
      <c r="Y114" s="1160"/>
      <c r="Z114" s="1160"/>
      <c r="AA114" s="1160"/>
      <c r="AB114" s="1632"/>
      <c r="AC114" s="566"/>
      <c r="AD114" s="566"/>
      <c r="AE114" s="566"/>
      <c r="AF114" s="566"/>
      <c r="AG114" s="1641">
        <v>11</v>
      </c>
    </row>
    <row r="115" s="1641" customFormat="1" ht="11.5" customHeight="1">
      <c r="A115" s="987"/>
      <c r="B115" s="1636"/>
      <c r="C115" s="1636"/>
      <c r="D115" s="351"/>
      <c r="J115" s="1641"/>
      <c r="L115" s="1160"/>
      <c r="M115" s="1636"/>
      <c r="N115" s="1636"/>
      <c r="O115" s="1160"/>
      <c r="P115" s="1160"/>
      <c r="Q115" s="1160"/>
      <c r="R115" s="1160"/>
      <c r="S115" s="1636"/>
      <c r="T115" s="1160"/>
      <c r="U115" s="1160"/>
      <c r="V115" s="544"/>
      <c r="W115" s="1160"/>
      <c r="X115" s="1160"/>
      <c r="Y115" s="1160"/>
      <c r="Z115" s="1160"/>
      <c r="AA115" s="1160"/>
      <c r="AB115" s="1632"/>
      <c r="AC115" s="566"/>
      <c r="AD115" s="566"/>
      <c r="AE115" s="566"/>
      <c r="AF115" s="566"/>
      <c r="AG115" s="1641">
        <v>11</v>
      </c>
    </row>
    <row r="116" s="1641" customFormat="1" ht="11.5" customHeight="1">
      <c r="A116" s="987"/>
      <c r="B116" s="1636"/>
      <c r="C116" s="1636"/>
      <c r="D116" s="351"/>
      <c r="J116" s="1641"/>
      <c r="L116" s="1160"/>
      <c r="M116" s="1636"/>
      <c r="N116" s="1636"/>
      <c r="O116" s="1160"/>
      <c r="P116" s="1160"/>
      <c r="Q116" s="1160"/>
      <c r="R116" s="1160"/>
      <c r="S116" s="1636"/>
      <c r="T116" s="1160"/>
      <c r="U116" s="1160"/>
      <c r="V116" s="544"/>
      <c r="W116" s="1160"/>
      <c r="X116" s="1160"/>
      <c r="Y116" s="1160"/>
      <c r="Z116" s="1160"/>
      <c r="AA116" s="1160"/>
      <c r="AB116" s="1632"/>
      <c r="AC116" s="566"/>
      <c r="AD116" s="566"/>
      <c r="AE116" s="566"/>
      <c r="AF116" s="566"/>
      <c r="AG116" s="1641">
        <v>11</v>
      </c>
    </row>
    <row r="117" s="1641" customFormat="1" ht="11.5" customHeight="1">
      <c r="A117" s="987"/>
      <c r="B117" s="1636"/>
      <c r="C117" s="1636"/>
      <c r="D117" s="351"/>
      <c r="J117" s="1641"/>
      <c r="L117" s="1160"/>
      <c r="M117" s="1636"/>
      <c r="N117" s="1636"/>
      <c r="O117" s="1160"/>
      <c r="P117" s="1160"/>
      <c r="Q117" s="1160"/>
      <c r="R117" s="1160"/>
      <c r="S117" s="1636"/>
      <c r="T117" s="1160"/>
      <c r="U117" s="1160"/>
      <c r="V117" s="544"/>
      <c r="W117" s="1160"/>
      <c r="X117" s="1160"/>
      <c r="Y117" s="1160"/>
      <c r="Z117" s="1160"/>
      <c r="AA117" s="1160"/>
      <c r="AB117" s="1632"/>
      <c r="AC117" s="566"/>
      <c r="AD117" s="566"/>
      <c r="AE117" s="566"/>
      <c r="AF117" s="566"/>
      <c r="AG117" s="1641">
        <v>11</v>
      </c>
    </row>
    <row r="118" s="1641" customFormat="1" ht="11.5" customHeight="1">
      <c r="A118" s="987"/>
      <c r="B118" s="1636"/>
      <c r="C118" s="1636"/>
      <c r="D118" s="351"/>
      <c r="J118" s="1641"/>
      <c r="L118" s="1160"/>
      <c r="M118" s="1636"/>
      <c r="N118" s="1636"/>
      <c r="O118" s="1160"/>
      <c r="P118" s="1160"/>
      <c r="Q118" s="1160"/>
      <c r="R118" s="1160"/>
      <c r="S118" s="1636"/>
      <c r="T118" s="1160"/>
      <c r="U118" s="1160"/>
      <c r="V118" s="544"/>
      <c r="W118" s="1160"/>
      <c r="X118" s="1160"/>
      <c r="Y118" s="1160"/>
      <c r="Z118" s="1160"/>
      <c r="AA118" s="1160"/>
      <c r="AB118" s="1632"/>
      <c r="AC118" s="566"/>
      <c r="AD118" s="566"/>
      <c r="AE118" s="566"/>
      <c r="AF118" s="566"/>
      <c r="AG118" s="1641">
        <v>11</v>
      </c>
    </row>
    <row r="119" s="1641" customFormat="1" ht="11.5" customHeight="1">
      <c r="A119" s="987"/>
      <c r="B119" s="1636"/>
      <c r="C119" s="1636"/>
      <c r="D119" s="351"/>
      <c r="J119" s="1641"/>
      <c r="L119" s="1160"/>
      <c r="M119" s="1636"/>
      <c r="N119" s="1636"/>
      <c r="O119" s="1160"/>
      <c r="P119" s="1160"/>
      <c r="Q119" s="1160"/>
      <c r="R119" s="1160"/>
      <c r="S119" s="1636"/>
      <c r="T119" s="1160"/>
      <c r="U119" s="1160"/>
      <c r="V119" s="544"/>
      <c r="W119" s="1160"/>
      <c r="X119" s="1160"/>
      <c r="Y119" s="1160"/>
      <c r="Z119" s="1160"/>
      <c r="AA119" s="1160"/>
      <c r="AB119" s="1632"/>
      <c r="AC119" s="566"/>
      <c r="AD119" s="566"/>
      <c r="AE119" s="566"/>
      <c r="AF119" s="566"/>
      <c r="AG119" s="1641">
        <v>11</v>
      </c>
    </row>
    <row r="120" s="1641" customFormat="1" ht="11.5" customHeight="1">
      <c r="A120" s="987"/>
      <c r="B120" s="1636"/>
      <c r="C120" s="1636"/>
      <c r="D120" s="351"/>
      <c r="J120" s="1641"/>
      <c r="L120" s="1160"/>
      <c r="M120" s="1636"/>
      <c r="N120" s="1636"/>
      <c r="O120" s="1160"/>
      <c r="P120" s="1160"/>
      <c r="Q120" s="1160"/>
      <c r="R120" s="1160"/>
      <c r="S120" s="1636"/>
      <c r="T120" s="1160"/>
      <c r="U120" s="1160"/>
      <c r="V120" s="544"/>
      <c r="W120" s="1160"/>
      <c r="X120" s="1160"/>
      <c r="Y120" s="1160"/>
      <c r="Z120" s="1160"/>
      <c r="AA120" s="1160"/>
      <c r="AB120" s="1632"/>
      <c r="AC120" s="566"/>
      <c r="AD120" s="566"/>
      <c r="AE120" s="566"/>
      <c r="AF120" s="566"/>
      <c r="AG120" s="1641">
        <v>11</v>
      </c>
    </row>
    <row r="121" s="1641" customFormat="1" ht="11.5" customHeight="1">
      <c r="A121" s="987"/>
      <c r="B121" s="1636"/>
      <c r="C121" s="1636"/>
      <c r="D121" s="351"/>
      <c r="J121" s="1641"/>
      <c r="L121" s="1160"/>
      <c r="M121" s="1636"/>
      <c r="N121" s="1636"/>
      <c r="O121" s="1160"/>
      <c r="P121" s="1160"/>
      <c r="Q121" s="1160"/>
      <c r="R121" s="1160"/>
      <c r="S121" s="1636"/>
      <c r="T121" s="1160"/>
      <c r="U121" s="1160"/>
      <c r="V121" s="544"/>
      <c r="W121" s="1160"/>
      <c r="X121" s="1160"/>
      <c r="Y121" s="1160"/>
      <c r="Z121" s="1160"/>
      <c r="AA121" s="1160"/>
      <c r="AB121" s="1632"/>
      <c r="AC121" s="566"/>
      <c r="AD121" s="566"/>
      <c r="AE121" s="566"/>
      <c r="AF121" s="566"/>
      <c r="AG121" s="1641">
        <v>11</v>
      </c>
    </row>
    <row r="122" s="1641" customFormat="1" ht="11.5" customHeight="1">
      <c r="A122" s="987"/>
      <c r="B122" s="1636"/>
      <c r="C122" s="1636"/>
      <c r="D122" s="351"/>
      <c r="J122" s="1641"/>
      <c r="L122" s="1160"/>
      <c r="M122" s="1636"/>
      <c r="N122" s="1636"/>
      <c r="O122" s="1160"/>
      <c r="P122" s="1160"/>
      <c r="Q122" s="1160"/>
      <c r="R122" s="1160"/>
      <c r="S122" s="1636"/>
      <c r="T122" s="1160"/>
      <c r="U122" s="1160"/>
      <c r="V122" s="544"/>
      <c r="W122" s="1160"/>
      <c r="X122" s="1160"/>
      <c r="Y122" s="1160"/>
      <c r="Z122" s="1160"/>
      <c r="AA122" s="1160"/>
      <c r="AB122" s="1632"/>
      <c r="AC122" s="566"/>
      <c r="AD122" s="566"/>
      <c r="AE122" s="566"/>
      <c r="AF122" s="566"/>
      <c r="AG122" s="1641">
        <v>11</v>
      </c>
    </row>
    <row r="123" s="1641" customFormat="1" ht="11.5" customHeight="1">
      <c r="A123" s="987"/>
      <c r="B123" s="1636"/>
      <c r="C123" s="1636"/>
      <c r="D123" s="351"/>
      <c r="J123" s="1641"/>
      <c r="L123" s="1160"/>
      <c r="M123" s="1636"/>
      <c r="N123" s="1636"/>
      <c r="O123" s="1160"/>
      <c r="P123" s="1160"/>
      <c r="Q123" s="1160"/>
      <c r="R123" s="1160"/>
      <c r="S123" s="1636"/>
      <c r="T123" s="1160"/>
      <c r="U123" s="1160"/>
      <c r="V123" s="544"/>
      <c r="W123" s="1160"/>
      <c r="X123" s="1160"/>
      <c r="Y123" s="1160"/>
      <c r="Z123" s="1160"/>
      <c r="AA123" s="1160"/>
      <c r="AB123" s="1632"/>
      <c r="AC123" s="566"/>
      <c r="AD123" s="566"/>
      <c r="AE123" s="566"/>
      <c r="AF123" s="566"/>
      <c r="AG123" s="1641">
        <v>11</v>
      </c>
    </row>
    <row r="124" s="1641" customFormat="1" ht="11.5" customHeight="1">
      <c r="A124" s="987"/>
      <c r="B124" s="1636"/>
      <c r="C124" s="1636"/>
      <c r="D124" s="351"/>
      <c r="J124" s="1641"/>
      <c r="L124" s="1160"/>
      <c r="M124" s="1636"/>
      <c r="N124" s="1636"/>
      <c r="O124" s="1160"/>
      <c r="P124" s="1160"/>
      <c r="Q124" s="1160"/>
      <c r="R124" s="1160"/>
      <c r="S124" s="1636"/>
      <c r="T124" s="1160"/>
      <c r="U124" s="1160"/>
      <c r="V124" s="544"/>
      <c r="W124" s="1160"/>
      <c r="X124" s="1160"/>
      <c r="Y124" s="1160"/>
      <c r="Z124" s="1160"/>
      <c r="AA124" s="1160"/>
      <c r="AB124" s="1632"/>
      <c r="AC124" s="566"/>
      <c r="AD124" s="566"/>
      <c r="AE124" s="566"/>
      <c r="AF124" s="566"/>
      <c r="AG124" s="1641">
        <v>11</v>
      </c>
    </row>
    <row r="125" s="1641" customFormat="1" ht="11.5" customHeight="1">
      <c r="A125" s="987"/>
      <c r="B125" s="1636"/>
      <c r="C125" s="1636"/>
      <c r="D125" s="351"/>
      <c r="J125" s="1641"/>
      <c r="L125" s="1160"/>
      <c r="M125" s="1636"/>
      <c r="N125" s="1636"/>
      <c r="O125" s="1160"/>
      <c r="P125" s="1160"/>
      <c r="Q125" s="1160"/>
      <c r="R125" s="1160"/>
      <c r="S125" s="1636"/>
      <c r="T125" s="1160"/>
      <c r="U125" s="1160"/>
      <c r="V125" s="544"/>
      <c r="W125" s="1160"/>
      <c r="X125" s="1160"/>
      <c r="Y125" s="1160"/>
      <c r="Z125" s="1160"/>
      <c r="AA125" s="1160"/>
      <c r="AB125" s="1632"/>
      <c r="AC125" s="566"/>
      <c r="AD125" s="566"/>
      <c r="AE125" s="566"/>
      <c r="AF125" s="566"/>
      <c r="AG125" s="1641">
        <v>11</v>
      </c>
    </row>
    <row r="126" s="1641" customFormat="1" ht="11.5" customHeight="1">
      <c r="A126" s="987"/>
      <c r="B126" s="1636"/>
      <c r="C126" s="1636"/>
      <c r="D126" s="351"/>
      <c r="J126" s="1641"/>
      <c r="L126" s="1160"/>
      <c r="M126" s="1636"/>
      <c r="N126" s="1636"/>
      <c r="O126" s="1160"/>
      <c r="P126" s="1160"/>
      <c r="Q126" s="1160"/>
      <c r="R126" s="1160"/>
      <c r="S126" s="1636"/>
      <c r="T126" s="1160"/>
      <c r="U126" s="1160"/>
      <c r="V126" s="544"/>
      <c r="W126" s="1160"/>
      <c r="X126" s="1160"/>
      <c r="Y126" s="1160"/>
      <c r="Z126" s="1160"/>
      <c r="AA126" s="1160"/>
      <c r="AB126" s="1632"/>
      <c r="AC126" s="566"/>
      <c r="AD126" s="566"/>
      <c r="AE126" s="566"/>
      <c r="AF126" s="566"/>
      <c r="AG126" s="1641">
        <v>11</v>
      </c>
    </row>
    <row r="127" s="1641" customFormat="1" ht="11.5" customHeight="1">
      <c r="A127" s="987"/>
      <c r="B127" s="1636"/>
      <c r="C127" s="1636"/>
      <c r="D127" s="351"/>
      <c r="J127" s="1641"/>
      <c r="L127" s="1160"/>
      <c r="M127" s="1636"/>
      <c r="N127" s="1636"/>
      <c r="O127" s="1160"/>
      <c r="P127" s="1160"/>
      <c r="Q127" s="1160"/>
      <c r="R127" s="1160"/>
      <c r="S127" s="1636"/>
      <c r="T127" s="1160"/>
      <c r="U127" s="1160"/>
      <c r="V127" s="544"/>
      <c r="W127" s="1160"/>
      <c r="X127" s="1160"/>
      <c r="Y127" s="1160"/>
      <c r="Z127" s="1160"/>
      <c r="AA127" s="1160"/>
      <c r="AB127" s="1632"/>
      <c r="AC127" s="566"/>
      <c r="AD127" s="566"/>
      <c r="AE127" s="566"/>
      <c r="AF127" s="566"/>
      <c r="AG127" s="1641">
        <v>11</v>
      </c>
    </row>
    <row r="128" s="1641" customFormat="1" ht="11.5" customHeight="1">
      <c r="A128" s="987"/>
      <c r="B128" s="1636"/>
      <c r="C128" s="1636"/>
      <c r="D128" s="351"/>
      <c r="J128" s="1641"/>
      <c r="L128" s="1160"/>
      <c r="M128" s="1636"/>
      <c r="N128" s="1636"/>
      <c r="O128" s="1160"/>
      <c r="P128" s="1160"/>
      <c r="Q128" s="1160"/>
      <c r="R128" s="1160"/>
      <c r="S128" s="1636"/>
      <c r="T128" s="1160"/>
      <c r="U128" s="1160"/>
      <c r="V128" s="544"/>
      <c r="W128" s="1160"/>
      <c r="X128" s="1160"/>
      <c r="Y128" s="1160"/>
      <c r="Z128" s="1160"/>
      <c r="AA128" s="1160"/>
      <c r="AB128" s="1632"/>
      <c r="AC128" s="566"/>
      <c r="AD128" s="566"/>
      <c r="AE128" s="566"/>
      <c r="AF128" s="566"/>
      <c r="AG128" s="1641">
        <v>11</v>
      </c>
    </row>
    <row r="129" s="1641" customFormat="1" ht="11.5" customHeight="1">
      <c r="A129" s="987"/>
      <c r="B129" s="1636"/>
      <c r="C129" s="1636"/>
      <c r="D129" s="351"/>
      <c r="J129" s="1641"/>
      <c r="L129" s="1160"/>
      <c r="M129" s="1636"/>
      <c r="N129" s="1636"/>
      <c r="O129" s="1160"/>
      <c r="P129" s="1160"/>
      <c r="Q129" s="1160"/>
      <c r="R129" s="1160"/>
      <c r="S129" s="1636"/>
      <c r="T129" s="1160"/>
      <c r="U129" s="1160"/>
      <c r="V129" s="544"/>
      <c r="W129" s="1160"/>
      <c r="X129" s="1160"/>
      <c r="Y129" s="1160"/>
      <c r="Z129" s="1160"/>
      <c r="AA129" s="1160"/>
      <c r="AB129" s="1632"/>
      <c r="AC129" s="566"/>
      <c r="AD129" s="566"/>
      <c r="AE129" s="566"/>
      <c r="AF129" s="566"/>
      <c r="AG129" s="1641">
        <v>11</v>
      </c>
    </row>
    <row r="130" s="1641" customFormat="1" ht="11.5" customHeight="1">
      <c r="A130" s="987"/>
      <c r="B130" s="1636"/>
      <c r="C130" s="1636"/>
      <c r="D130" s="351"/>
      <c r="J130" s="1641"/>
      <c r="L130" s="1160"/>
      <c r="M130" s="1636"/>
      <c r="N130" s="1636"/>
      <c r="O130" s="1160"/>
      <c r="P130" s="1160"/>
      <c r="Q130" s="1160"/>
      <c r="R130" s="1160"/>
      <c r="S130" s="1636"/>
      <c r="T130" s="1160"/>
      <c r="U130" s="1160"/>
      <c r="V130" s="544"/>
      <c r="W130" s="1160"/>
      <c r="X130" s="1160"/>
      <c r="Y130" s="1160"/>
      <c r="Z130" s="1160"/>
      <c r="AA130" s="1160"/>
      <c r="AB130" s="1632"/>
      <c r="AC130" s="566"/>
      <c r="AD130" s="566"/>
      <c r="AE130" s="566"/>
      <c r="AF130" s="566"/>
      <c r="AG130" s="1641">
        <v>11</v>
      </c>
    </row>
    <row r="131" s="1641" customFormat="1" ht="11.5" customHeight="1">
      <c r="A131" s="987"/>
      <c r="B131" s="1636"/>
      <c r="C131" s="1636"/>
      <c r="D131" s="351"/>
      <c r="J131" s="1641"/>
      <c r="L131" s="1160"/>
      <c r="M131" s="1636"/>
      <c r="N131" s="1636"/>
      <c r="O131" s="1160"/>
      <c r="P131" s="1160"/>
      <c r="Q131" s="1160"/>
      <c r="R131" s="1160"/>
      <c r="S131" s="1636"/>
      <c r="T131" s="1160"/>
      <c r="U131" s="1160"/>
      <c r="V131" s="544"/>
      <c r="W131" s="1160"/>
      <c r="X131" s="1160"/>
      <c r="Y131" s="1160"/>
      <c r="Z131" s="1160"/>
      <c r="AA131" s="1160"/>
      <c r="AB131" s="1632"/>
      <c r="AC131" s="566"/>
      <c r="AD131" s="566"/>
      <c r="AE131" s="566"/>
      <c r="AF131" s="566"/>
      <c r="AG131" s="1641">
        <v>11</v>
      </c>
    </row>
    <row r="132" s="1641" customFormat="1" ht="11.5" customHeight="1">
      <c r="A132" s="987"/>
      <c r="B132" s="1636"/>
      <c r="C132" s="1636"/>
      <c r="D132" s="351"/>
      <c r="J132" s="1641"/>
      <c r="L132" s="1160"/>
      <c r="M132" s="1636"/>
      <c r="N132" s="1636"/>
      <c r="O132" s="1160"/>
      <c r="P132" s="1160"/>
      <c r="Q132" s="1160"/>
      <c r="R132" s="1160"/>
      <c r="S132" s="1636"/>
      <c r="T132" s="1160"/>
      <c r="U132" s="1160"/>
      <c r="V132" s="544"/>
      <c r="W132" s="1160"/>
      <c r="X132" s="1160"/>
      <c r="Y132" s="1160"/>
      <c r="Z132" s="1160"/>
      <c r="AA132" s="1160"/>
      <c r="AB132" s="1632"/>
      <c r="AC132" s="566"/>
      <c r="AD132" s="566"/>
      <c r="AE132" s="566"/>
      <c r="AF132" s="566"/>
      <c r="AG132" s="1641">
        <v>11</v>
      </c>
    </row>
    <row r="133" s="1641" customFormat="1" ht="11.5" customHeight="1">
      <c r="A133" s="987"/>
      <c r="B133" s="1636"/>
      <c r="C133" s="1636"/>
      <c r="D133" s="351"/>
      <c r="J133" s="1641"/>
      <c r="L133" s="1160"/>
      <c r="M133" s="1636"/>
      <c r="N133" s="1636"/>
      <c r="O133" s="1160"/>
      <c r="P133" s="1160"/>
      <c r="Q133" s="1160"/>
      <c r="R133" s="1160"/>
      <c r="S133" s="1636"/>
      <c r="T133" s="1160"/>
      <c r="U133" s="1160"/>
      <c r="V133" s="544"/>
      <c r="W133" s="1160"/>
      <c r="X133" s="1160"/>
      <c r="Y133" s="1160"/>
      <c r="Z133" s="1160"/>
      <c r="AA133" s="1160"/>
      <c r="AB133" s="1632"/>
      <c r="AC133" s="566"/>
      <c r="AD133" s="566"/>
      <c r="AE133" s="566"/>
      <c r="AF133" s="566"/>
      <c r="AG133" s="1641">
        <v>11</v>
      </c>
    </row>
    <row r="134" s="1641" customFormat="1" ht="11.5" customHeight="1">
      <c r="A134" s="987"/>
      <c r="B134" s="1636"/>
      <c r="C134" s="1636"/>
      <c r="D134" s="351"/>
      <c r="J134" s="1641"/>
      <c r="L134" s="1160"/>
      <c r="M134" s="1636"/>
      <c r="N134" s="1636"/>
      <c r="O134" s="1160"/>
      <c r="P134" s="1160"/>
      <c r="Q134" s="1160"/>
      <c r="R134" s="1160"/>
      <c r="S134" s="1636"/>
      <c r="T134" s="1160"/>
      <c r="U134" s="1160"/>
      <c r="V134" s="544"/>
      <c r="W134" s="1160"/>
      <c r="X134" s="1160"/>
      <c r="Y134" s="1160"/>
      <c r="Z134" s="1160"/>
      <c r="AA134" s="1160"/>
      <c r="AB134" s="1632"/>
      <c r="AC134" s="566"/>
      <c r="AD134" s="566"/>
      <c r="AE134" s="566"/>
      <c r="AF134" s="566"/>
      <c r="AG134" s="1641">
        <v>11</v>
      </c>
    </row>
    <row r="135" s="1641" customFormat="1" ht="11.5" customHeight="1">
      <c r="A135" s="987"/>
      <c r="B135" s="1636"/>
      <c r="C135" s="1636"/>
      <c r="D135" s="351"/>
      <c r="J135" s="1641"/>
      <c r="L135" s="1160"/>
      <c r="M135" s="1636"/>
      <c r="N135" s="1636"/>
      <c r="O135" s="1160"/>
      <c r="P135" s="1160"/>
      <c r="Q135" s="1160"/>
      <c r="R135" s="1160"/>
      <c r="S135" s="1636"/>
      <c r="T135" s="1160"/>
      <c r="U135" s="1160"/>
      <c r="V135" s="544"/>
      <c r="W135" s="1160"/>
      <c r="X135" s="1160"/>
      <c r="Y135" s="1160"/>
      <c r="Z135" s="1160"/>
      <c r="AA135" s="1160"/>
      <c r="AB135" s="1632"/>
      <c r="AC135" s="566"/>
      <c r="AD135" s="566"/>
      <c r="AE135" s="566"/>
      <c r="AF135" s="566"/>
      <c r="AG135" s="1641">
        <v>11</v>
      </c>
    </row>
    <row r="136" s="1641" customFormat="1" ht="11.5" customHeight="1">
      <c r="A136" s="987"/>
      <c r="B136" s="1636"/>
      <c r="C136" s="1636"/>
      <c r="D136" s="351"/>
      <c r="J136" s="1641"/>
      <c r="L136" s="1160"/>
      <c r="M136" s="1636"/>
      <c r="N136" s="1636"/>
      <c r="O136" s="1160"/>
      <c r="P136" s="1160"/>
      <c r="Q136" s="1160"/>
      <c r="R136" s="1160"/>
      <c r="S136" s="1636"/>
      <c r="T136" s="1160"/>
      <c r="U136" s="1160"/>
      <c r="V136" s="544"/>
      <c r="W136" s="1160"/>
      <c r="X136" s="1160"/>
      <c r="Y136" s="1160"/>
      <c r="Z136" s="1160"/>
      <c r="AA136" s="1160"/>
      <c r="AB136" s="1632"/>
      <c r="AC136" s="566"/>
      <c r="AD136" s="566"/>
      <c r="AE136" s="566"/>
      <c r="AF136" s="566"/>
      <c r="AG136" s="1641">
        <v>11</v>
      </c>
    </row>
    <row r="137" s="1641" customFormat="1" ht="11.5" customHeight="1">
      <c r="A137" s="987"/>
      <c r="B137" s="1636"/>
      <c r="C137" s="1636"/>
      <c r="D137" s="351"/>
      <c r="J137" s="1641"/>
      <c r="L137" s="1160"/>
      <c r="M137" s="1636"/>
      <c r="N137" s="1636"/>
      <c r="O137" s="1160"/>
      <c r="P137" s="1160"/>
      <c r="Q137" s="1160"/>
      <c r="R137" s="1160"/>
      <c r="S137" s="1636"/>
      <c r="T137" s="1160"/>
      <c r="U137" s="1160"/>
      <c r="V137" s="544"/>
      <c r="W137" s="1160"/>
      <c r="X137" s="1160"/>
      <c r="Y137" s="1160"/>
      <c r="Z137" s="1160"/>
      <c r="AA137" s="1160"/>
      <c r="AB137" s="1632"/>
      <c r="AC137" s="566"/>
      <c r="AD137" s="566"/>
      <c r="AE137" s="566"/>
      <c r="AF137" s="566"/>
      <c r="AG137" s="1641">
        <v>11</v>
      </c>
    </row>
    <row r="138" s="1641" customFormat="1" ht="11.5" customHeight="1">
      <c r="A138" s="987"/>
      <c r="B138" s="1636"/>
      <c r="C138" s="1636"/>
      <c r="D138" s="351"/>
      <c r="J138" s="1641"/>
      <c r="L138" s="1160"/>
      <c r="M138" s="1636"/>
      <c r="N138" s="1636"/>
      <c r="O138" s="1160"/>
      <c r="P138" s="1160"/>
      <c r="Q138" s="1160"/>
      <c r="R138" s="1160"/>
      <c r="S138" s="1636"/>
      <c r="T138" s="1160"/>
      <c r="U138" s="1160"/>
      <c r="V138" s="544"/>
      <c r="W138" s="1160"/>
      <c r="X138" s="1160"/>
      <c r="Y138" s="1160"/>
      <c r="Z138" s="1160"/>
      <c r="AA138" s="1160"/>
      <c r="AB138" s="1632"/>
      <c r="AC138" s="566"/>
      <c r="AD138" s="566"/>
      <c r="AE138" s="566"/>
      <c r="AF138" s="566"/>
      <c r="AG138" s="1641">
        <v>11</v>
      </c>
    </row>
    <row r="139" s="1641" customFormat="1" ht="11.5" customHeight="1">
      <c r="A139" s="987"/>
      <c r="B139" s="1636"/>
      <c r="C139" s="1636"/>
      <c r="D139" s="351"/>
      <c r="J139" s="1641"/>
      <c r="L139" s="1160"/>
      <c r="M139" s="1636"/>
      <c r="N139" s="1636"/>
      <c r="O139" s="1160"/>
      <c r="P139" s="1160"/>
      <c r="Q139" s="1160"/>
      <c r="R139" s="1160"/>
      <c r="S139" s="1636"/>
      <c r="T139" s="1160"/>
      <c r="U139" s="1160"/>
      <c r="V139" s="544"/>
      <c r="W139" s="1160"/>
      <c r="X139" s="1160"/>
      <c r="Y139" s="1160"/>
      <c r="Z139" s="1160"/>
      <c r="AA139" s="1160"/>
      <c r="AB139" s="1632"/>
      <c r="AC139" s="566"/>
      <c r="AD139" s="566"/>
      <c r="AE139" s="566"/>
      <c r="AF139" s="566"/>
      <c r="AG139" s="1641">
        <v>11</v>
      </c>
    </row>
    <row r="140" s="1641" customFormat="1" ht="11.5" customHeight="1">
      <c r="A140" s="987"/>
      <c r="B140" s="1636"/>
      <c r="C140" s="1636"/>
      <c r="D140" s="351"/>
      <c r="J140" s="1641"/>
      <c r="L140" s="1160"/>
      <c r="M140" s="1636"/>
      <c r="N140" s="1636"/>
      <c r="O140" s="1160"/>
      <c r="P140" s="1160"/>
      <c r="Q140" s="1160"/>
      <c r="R140" s="1160"/>
      <c r="S140" s="1636"/>
      <c r="T140" s="1160"/>
      <c r="U140" s="1160"/>
      <c r="V140" s="544"/>
      <c r="W140" s="1160"/>
      <c r="X140" s="1160"/>
      <c r="Y140" s="1160"/>
      <c r="Z140" s="1160"/>
      <c r="AA140" s="1160"/>
      <c r="AB140" s="1632"/>
      <c r="AC140" s="566"/>
      <c r="AD140" s="566"/>
      <c r="AE140" s="566"/>
      <c r="AF140" s="566"/>
      <c r="AG140" s="1641">
        <v>11</v>
      </c>
    </row>
    <row r="141" s="1641" customFormat="1" ht="11.5" customHeight="1">
      <c r="A141" s="987"/>
      <c r="B141" s="1636"/>
      <c r="C141" s="1636"/>
      <c r="D141" s="351"/>
      <c r="J141" s="1641"/>
      <c r="L141" s="1160"/>
      <c r="M141" s="1636"/>
      <c r="N141" s="1636"/>
      <c r="O141" s="1160"/>
      <c r="P141" s="1160"/>
      <c r="Q141" s="1160"/>
      <c r="R141" s="1160"/>
      <c r="S141" s="1636"/>
      <c r="T141" s="1160"/>
      <c r="U141" s="1160"/>
      <c r="V141" s="544"/>
      <c r="W141" s="1160"/>
      <c r="X141" s="1160"/>
      <c r="Y141" s="1160"/>
      <c r="Z141" s="1160"/>
      <c r="AA141" s="1160"/>
      <c r="AB141" s="1632"/>
      <c r="AC141" s="566"/>
      <c r="AD141" s="566"/>
      <c r="AE141" s="566"/>
      <c r="AF141" s="566"/>
      <c r="AG141" s="1641">
        <v>11</v>
      </c>
    </row>
    <row r="142" s="1641" customFormat="1" ht="11.5" customHeight="1">
      <c r="A142" s="987"/>
      <c r="B142" s="1636"/>
      <c r="C142" s="1636"/>
      <c r="D142" s="351"/>
      <c r="J142" s="1641"/>
      <c r="L142" s="1160"/>
      <c r="M142" s="1636"/>
      <c r="N142" s="1636"/>
      <c r="O142" s="1160"/>
      <c r="P142" s="1160"/>
      <c r="Q142" s="1160"/>
      <c r="R142" s="1160"/>
      <c r="S142" s="1636"/>
      <c r="T142" s="1160"/>
      <c r="U142" s="1160"/>
      <c r="V142" s="544"/>
      <c r="W142" s="1160"/>
      <c r="X142" s="1160"/>
      <c r="Y142" s="1160"/>
      <c r="Z142" s="1160"/>
      <c r="AA142" s="1160"/>
      <c r="AB142" s="1632"/>
      <c r="AC142" s="566"/>
      <c r="AD142" s="566"/>
      <c r="AE142" s="566"/>
      <c r="AF142" s="566"/>
      <c r="AG142" s="1641">
        <v>11</v>
      </c>
    </row>
    <row r="143" s="1641" customFormat="1" ht="11.5" customHeight="1">
      <c r="A143" s="987"/>
      <c r="B143" s="1636"/>
      <c r="C143" s="1636"/>
      <c r="D143" s="351"/>
      <c r="J143" s="1641"/>
      <c r="L143" s="1160"/>
      <c r="M143" s="1636"/>
      <c r="N143" s="1636"/>
      <c r="O143" s="1160"/>
      <c r="P143" s="1160"/>
      <c r="Q143" s="1160"/>
      <c r="R143" s="1160"/>
      <c r="S143" s="1636"/>
      <c r="T143" s="1160"/>
      <c r="U143" s="1160"/>
      <c r="V143" s="544"/>
      <c r="W143" s="1160"/>
      <c r="X143" s="1160"/>
      <c r="Y143" s="1160"/>
      <c r="Z143" s="1160"/>
      <c r="AA143" s="1160"/>
      <c r="AB143" s="1632"/>
      <c r="AC143" s="566"/>
      <c r="AD143" s="566"/>
      <c r="AE143" s="566"/>
      <c r="AF143" s="566"/>
      <c r="AG143" s="1641">
        <v>11</v>
      </c>
    </row>
    <row r="144" s="1641" customFormat="1" ht="11.5" customHeight="1">
      <c r="A144" s="987"/>
      <c r="B144" s="1636"/>
      <c r="C144" s="1636"/>
      <c r="D144" s="351"/>
      <c r="J144" s="1641"/>
      <c r="L144" s="1160"/>
      <c r="M144" s="1636"/>
      <c r="N144" s="1636"/>
      <c r="O144" s="1160"/>
      <c r="P144" s="1160"/>
      <c r="Q144" s="1160"/>
      <c r="R144" s="1160"/>
      <c r="S144" s="1636"/>
      <c r="T144" s="1160"/>
      <c r="U144" s="1160"/>
      <c r="V144" s="544"/>
      <c r="W144" s="1160"/>
      <c r="X144" s="1160"/>
      <c r="Y144" s="1160"/>
      <c r="Z144" s="1160"/>
      <c r="AA144" s="1160"/>
      <c r="AB144" s="1632"/>
      <c r="AC144" s="566"/>
      <c r="AD144" s="566"/>
      <c r="AE144" s="566"/>
      <c r="AF144" s="566"/>
      <c r="AG144" s="1641">
        <v>11</v>
      </c>
    </row>
    <row r="145" s="1641" customFormat="1" ht="11.5" customHeight="1">
      <c r="A145" s="987"/>
      <c r="B145" s="1636"/>
      <c r="C145" s="1636"/>
      <c r="D145" s="351"/>
      <c r="J145" s="1641"/>
      <c r="L145" s="1160"/>
      <c r="M145" s="1636"/>
      <c r="N145" s="1636"/>
      <c r="O145" s="1160"/>
      <c r="P145" s="1160"/>
      <c r="Q145" s="1160"/>
      <c r="R145" s="1160"/>
      <c r="S145" s="1636"/>
      <c r="T145" s="1160"/>
      <c r="U145" s="1160"/>
      <c r="V145" s="544"/>
      <c r="W145" s="1160"/>
      <c r="X145" s="1160"/>
      <c r="Y145" s="1160"/>
      <c r="Z145" s="1160"/>
      <c r="AA145" s="1160"/>
      <c r="AB145" s="1632"/>
      <c r="AC145" s="566"/>
      <c r="AD145" s="566"/>
      <c r="AE145" s="566"/>
      <c r="AF145" s="566"/>
      <c r="AG145" s="1641">
        <v>11</v>
      </c>
    </row>
    <row r="146" s="1641" customFormat="1" ht="11.5" customHeight="1">
      <c r="A146" s="987"/>
      <c r="B146" s="1636"/>
      <c r="C146" s="1636"/>
      <c r="D146" s="351"/>
      <c r="J146" s="1641"/>
      <c r="L146" s="1160"/>
      <c r="M146" s="1636"/>
      <c r="N146" s="1636"/>
      <c r="O146" s="1160"/>
      <c r="P146" s="1160"/>
      <c r="Q146" s="1160"/>
      <c r="R146" s="1160"/>
      <c r="S146" s="1636"/>
      <c r="T146" s="1160"/>
      <c r="U146" s="1160"/>
      <c r="V146" s="544"/>
      <c r="W146" s="1160"/>
      <c r="X146" s="1160"/>
      <c r="Y146" s="1160"/>
      <c r="Z146" s="1160"/>
      <c r="AA146" s="1160"/>
      <c r="AB146" s="1632"/>
      <c r="AC146" s="566"/>
      <c r="AD146" s="566"/>
      <c r="AE146" s="566"/>
      <c r="AF146" s="566"/>
      <c r="AG146" s="1641">
        <v>11</v>
      </c>
    </row>
    <row r="147" s="1641" customFormat="1" ht="11.5" customHeight="1">
      <c r="A147" s="987"/>
      <c r="B147" s="1636"/>
      <c r="C147" s="1636"/>
      <c r="D147" s="351"/>
      <c r="J147" s="1641"/>
      <c r="L147" s="1160"/>
      <c r="M147" s="1636"/>
      <c r="N147" s="1636"/>
      <c r="O147" s="1160"/>
      <c r="P147" s="1160"/>
      <c r="Q147" s="1160"/>
      <c r="R147" s="1160"/>
      <c r="S147" s="1636"/>
      <c r="T147" s="1160"/>
      <c r="U147" s="1160"/>
      <c r="V147" s="544"/>
      <c r="W147" s="1160"/>
      <c r="X147" s="1160"/>
      <c r="Y147" s="1160"/>
      <c r="Z147" s="1160"/>
      <c r="AA147" s="1160"/>
      <c r="AB147" s="1632"/>
      <c r="AC147" s="566"/>
      <c r="AD147" s="566"/>
      <c r="AE147" s="566"/>
      <c r="AF147" s="566"/>
      <c r="AG147" s="1641">
        <v>11</v>
      </c>
    </row>
    <row r="148" s="1641" customFormat="1" ht="11.5" customHeight="1">
      <c r="A148" s="987"/>
      <c r="B148" s="1636"/>
      <c r="C148" s="1636"/>
      <c r="D148" s="351"/>
      <c r="J148" s="1641"/>
      <c r="L148" s="1160"/>
      <c r="M148" s="1636"/>
      <c r="N148" s="1636"/>
      <c r="O148" s="1160"/>
      <c r="P148" s="1160"/>
      <c r="Q148" s="1160"/>
      <c r="R148" s="1160"/>
      <c r="S148" s="1636"/>
      <c r="T148" s="1160"/>
      <c r="U148" s="1160"/>
      <c r="V148" s="544"/>
      <c r="W148" s="1160"/>
      <c r="X148" s="1160"/>
      <c r="Y148" s="1160"/>
      <c r="Z148" s="1160"/>
      <c r="AA148" s="1160"/>
      <c r="AB148" s="1632"/>
      <c r="AC148" s="566"/>
      <c r="AD148" s="566"/>
      <c r="AE148" s="566"/>
      <c r="AF148" s="566"/>
      <c r="AG148" s="1641">
        <v>11</v>
      </c>
    </row>
    <row r="149" s="1641" customFormat="1" ht="11.5" customHeight="1">
      <c r="A149" s="987"/>
      <c r="B149" s="1636"/>
      <c r="C149" s="1636"/>
      <c r="D149" s="351"/>
      <c r="J149" s="1641"/>
      <c r="L149" s="1160"/>
      <c r="M149" s="1636"/>
      <c r="N149" s="1636"/>
      <c r="O149" s="1160"/>
      <c r="P149" s="1160"/>
      <c r="Q149" s="1160"/>
      <c r="R149" s="1160"/>
      <c r="S149" s="1636"/>
      <c r="T149" s="1160"/>
      <c r="U149" s="1160"/>
      <c r="V149" s="544"/>
      <c r="W149" s="1160"/>
      <c r="X149" s="1160"/>
      <c r="Y149" s="1160"/>
      <c r="Z149" s="1160"/>
      <c r="AA149" s="1160"/>
      <c r="AB149" s="1632"/>
      <c r="AC149" s="566"/>
      <c r="AD149" s="566"/>
      <c r="AE149" s="566"/>
      <c r="AF149" s="566"/>
      <c r="AG149" s="1641">
        <v>11</v>
      </c>
    </row>
    <row r="150" s="1641" customFormat="1" ht="11.5" customHeight="1">
      <c r="A150" s="987"/>
      <c r="B150" s="1636"/>
      <c r="C150" s="1636"/>
      <c r="D150" s="351"/>
      <c r="J150" s="1641"/>
      <c r="L150" s="1160"/>
      <c r="M150" s="1636"/>
      <c r="N150" s="1636"/>
      <c r="O150" s="1160"/>
      <c r="P150" s="1160"/>
      <c r="Q150" s="1160"/>
      <c r="R150" s="1160"/>
      <c r="S150" s="1636"/>
      <c r="T150" s="1160"/>
      <c r="U150" s="1160"/>
      <c r="V150" s="544"/>
      <c r="W150" s="1160"/>
      <c r="X150" s="1160"/>
      <c r="Y150" s="1160"/>
      <c r="Z150" s="1160"/>
      <c r="AA150" s="1160"/>
      <c r="AB150" s="1632"/>
      <c r="AC150" s="566"/>
      <c r="AD150" s="566"/>
      <c r="AE150" s="566"/>
      <c r="AF150" s="566"/>
      <c r="AG150" s="1641">
        <v>11</v>
      </c>
    </row>
    <row r="151" s="1641" customFormat="1" ht="11.5" customHeight="1">
      <c r="A151" s="987"/>
      <c r="B151" s="1636"/>
      <c r="C151" s="1636"/>
      <c r="D151" s="351"/>
      <c r="J151" s="1641"/>
      <c r="L151" s="1160"/>
      <c r="M151" s="1636"/>
      <c r="N151" s="1636"/>
      <c r="O151" s="1160"/>
      <c r="P151" s="1160"/>
      <c r="Q151" s="1160"/>
      <c r="R151" s="1160"/>
      <c r="S151" s="1636"/>
      <c r="T151" s="1160"/>
      <c r="U151" s="1160"/>
      <c r="V151" s="544"/>
      <c r="W151" s="1160"/>
      <c r="X151" s="1160"/>
      <c r="Y151" s="1160"/>
      <c r="Z151" s="1160"/>
      <c r="AA151" s="1160"/>
      <c r="AB151" s="1632"/>
      <c r="AC151" s="566"/>
      <c r="AD151" s="566"/>
      <c r="AE151" s="566"/>
      <c r="AF151" s="566"/>
      <c r="AG151" s="1641">
        <v>11</v>
      </c>
    </row>
    <row r="152" s="1641" customFormat="1" ht="11.5" customHeight="1">
      <c r="A152" s="987"/>
      <c r="B152" s="1636"/>
      <c r="C152" s="1636"/>
      <c r="D152" s="351"/>
      <c r="J152" s="1641"/>
      <c r="L152" s="1160"/>
      <c r="M152" s="1636"/>
      <c r="N152" s="1636"/>
      <c r="O152" s="1160"/>
      <c r="P152" s="1160"/>
      <c r="Q152" s="1160"/>
      <c r="R152" s="1160"/>
      <c r="S152" s="1636"/>
      <c r="T152" s="1160"/>
      <c r="U152" s="1160"/>
      <c r="V152" s="544"/>
      <c r="W152" s="1160"/>
      <c r="X152" s="1160"/>
      <c r="Y152" s="1160"/>
      <c r="Z152" s="1160"/>
      <c r="AA152" s="1160"/>
      <c r="AB152" s="1632"/>
      <c r="AC152" s="566"/>
      <c r="AD152" s="566"/>
      <c r="AE152" s="566"/>
      <c r="AF152" s="566"/>
      <c r="AG152" s="1641">
        <v>11</v>
      </c>
    </row>
    <row r="153" s="1641" customFormat="1" ht="11.5" customHeight="1">
      <c r="A153" s="987"/>
      <c r="B153" s="1636"/>
      <c r="C153" s="1636"/>
      <c r="D153" s="351"/>
      <c r="J153" s="1641"/>
      <c r="L153" s="1160"/>
      <c r="M153" s="1636"/>
      <c r="N153" s="1636"/>
      <c r="O153" s="1160"/>
      <c r="P153" s="1160"/>
      <c r="Q153" s="1160"/>
      <c r="R153" s="1160"/>
      <c r="S153" s="1636"/>
      <c r="T153" s="1160"/>
      <c r="U153" s="1160"/>
      <c r="V153" s="544"/>
      <c r="W153" s="1160"/>
      <c r="X153" s="1160"/>
      <c r="Y153" s="1160"/>
      <c r="Z153" s="1160"/>
      <c r="AA153" s="1160"/>
      <c r="AB153" s="1632"/>
      <c r="AC153" s="566"/>
      <c r="AD153" s="566"/>
      <c r="AE153" s="566"/>
      <c r="AF153" s="566"/>
      <c r="AG153" s="1641">
        <v>11</v>
      </c>
    </row>
    <row r="154" s="1641" customFormat="1" ht="11.5" customHeight="1">
      <c r="A154" s="987"/>
      <c r="B154" s="1636"/>
      <c r="C154" s="1636"/>
      <c r="D154" s="351"/>
      <c r="J154" s="1641"/>
      <c r="L154" s="1160"/>
      <c r="M154" s="1636"/>
      <c r="N154" s="1636"/>
      <c r="O154" s="1160"/>
      <c r="P154" s="1160"/>
      <c r="Q154" s="1160"/>
      <c r="R154" s="1160"/>
      <c r="S154" s="1636"/>
      <c r="T154" s="1160"/>
      <c r="U154" s="1160"/>
      <c r="V154" s="544"/>
      <c r="W154" s="1160"/>
      <c r="X154" s="1160"/>
      <c r="Y154" s="1160"/>
      <c r="Z154" s="1160"/>
      <c r="AA154" s="1160"/>
      <c r="AB154" s="1632"/>
      <c r="AC154" s="566"/>
      <c r="AD154" s="566"/>
      <c r="AE154" s="566"/>
      <c r="AF154" s="566"/>
      <c r="AG154" s="1641">
        <v>11</v>
      </c>
    </row>
    <row r="155" s="1641" customFormat="1" ht="11.5" customHeight="1">
      <c r="A155" s="987"/>
      <c r="B155" s="1636"/>
      <c r="C155" s="1636"/>
      <c r="D155" s="351"/>
      <c r="J155" s="1641"/>
      <c r="L155" s="1160"/>
      <c r="M155" s="1636"/>
      <c r="N155" s="1636"/>
      <c r="O155" s="1160"/>
      <c r="P155" s="1160"/>
      <c r="Q155" s="1160"/>
      <c r="R155" s="1160"/>
      <c r="S155" s="1636"/>
      <c r="T155" s="1160"/>
      <c r="U155" s="1160"/>
      <c r="V155" s="544"/>
      <c r="W155" s="1160"/>
      <c r="X155" s="1160"/>
      <c r="Y155" s="1160"/>
      <c r="Z155" s="1160"/>
      <c r="AA155" s="1160"/>
      <c r="AB155" s="1632"/>
      <c r="AC155" s="566"/>
      <c r="AD155" s="566"/>
      <c r="AE155" s="566"/>
      <c r="AF155" s="566"/>
      <c r="AG155" s="1641">
        <v>11</v>
      </c>
    </row>
    <row r="156" s="1641" customFormat="1" ht="11.5" customHeight="1">
      <c r="A156" s="987"/>
      <c r="B156" s="1636"/>
      <c r="C156" s="1636"/>
      <c r="D156" s="351"/>
      <c r="J156" s="1641"/>
      <c r="L156" s="1160"/>
      <c r="M156" s="1636"/>
      <c r="N156" s="1636"/>
      <c r="O156" s="1160"/>
      <c r="P156" s="1160"/>
      <c r="Q156" s="1160"/>
      <c r="R156" s="1160"/>
      <c r="S156" s="1636"/>
      <c r="T156" s="1160"/>
      <c r="U156" s="1160"/>
      <c r="V156" s="544"/>
      <c r="W156" s="1160"/>
      <c r="X156" s="1160"/>
      <c r="Y156" s="1160"/>
      <c r="Z156" s="1160"/>
      <c r="AA156" s="1160"/>
      <c r="AB156" s="1632"/>
      <c r="AC156" s="566"/>
      <c r="AD156" s="566"/>
      <c r="AE156" s="566"/>
      <c r="AF156" s="566"/>
      <c r="AG156" s="1641">
        <v>11</v>
      </c>
    </row>
    <row r="157" s="1641" customFormat="1" ht="11.5" customHeight="1">
      <c r="A157" s="987"/>
      <c r="B157" s="1636"/>
      <c r="C157" s="1636"/>
      <c r="D157" s="351"/>
      <c r="J157" s="1641"/>
      <c r="L157" s="1160"/>
      <c r="M157" s="1636"/>
      <c r="N157" s="1636"/>
      <c r="O157" s="1160"/>
      <c r="P157" s="1160"/>
      <c r="Q157" s="1160"/>
      <c r="R157" s="1160"/>
      <c r="S157" s="1636"/>
      <c r="T157" s="1160"/>
      <c r="U157" s="1160"/>
      <c r="V157" s="544"/>
      <c r="W157" s="1160"/>
      <c r="X157" s="1160"/>
      <c r="Y157" s="1160"/>
      <c r="Z157" s="1160"/>
      <c r="AA157" s="1160"/>
      <c r="AB157" s="1632"/>
      <c r="AC157" s="566"/>
      <c r="AD157" s="566"/>
      <c r="AE157" s="566"/>
      <c r="AF157" s="566"/>
      <c r="AG157" s="1641">
        <v>11</v>
      </c>
    </row>
    <row r="158" s="1641" customFormat="1" ht="11.5" customHeight="1">
      <c r="A158" s="987"/>
      <c r="B158" s="1636"/>
      <c r="C158" s="1636"/>
      <c r="D158" s="351"/>
      <c r="J158" s="1641"/>
      <c r="L158" s="1160"/>
      <c r="M158" s="1636"/>
      <c r="N158" s="1636"/>
      <c r="O158" s="1160"/>
      <c r="P158" s="1160"/>
      <c r="Q158" s="1160"/>
      <c r="R158" s="1160"/>
      <c r="S158" s="1636"/>
      <c r="T158" s="1160"/>
      <c r="U158" s="1160"/>
      <c r="V158" s="544"/>
      <c r="W158" s="1160"/>
      <c r="X158" s="1160"/>
      <c r="Y158" s="1160"/>
      <c r="Z158" s="1160"/>
      <c r="AA158" s="1160"/>
      <c r="AB158" s="1632"/>
      <c r="AC158" s="566"/>
      <c r="AD158" s="566"/>
      <c r="AE158" s="566"/>
      <c r="AF158" s="566"/>
      <c r="AG158" s="1641">
        <v>11</v>
      </c>
    </row>
    <row r="159" s="1641" customFormat="1" ht="11.5" customHeight="1">
      <c r="A159" s="987"/>
      <c r="B159" s="1636"/>
      <c r="C159" s="1636"/>
      <c r="D159" s="351"/>
      <c r="J159" s="1641"/>
      <c r="L159" s="1160"/>
      <c r="M159" s="1636"/>
      <c r="N159" s="1636"/>
      <c r="O159" s="1160"/>
      <c r="P159" s="1160"/>
      <c r="Q159" s="1160"/>
      <c r="R159" s="1160"/>
      <c r="S159" s="1636"/>
      <c r="T159" s="1160"/>
      <c r="U159" s="1160"/>
      <c r="V159" s="544"/>
      <c r="W159" s="1160"/>
      <c r="X159" s="1160"/>
      <c r="Y159" s="1160"/>
      <c r="Z159" s="1160"/>
      <c r="AA159" s="1160"/>
      <c r="AB159" s="1632"/>
      <c r="AC159" s="566"/>
      <c r="AD159" s="566"/>
      <c r="AE159" s="566"/>
      <c r="AF159" s="566"/>
      <c r="AG159" s="1641">
        <v>11</v>
      </c>
    </row>
    <row r="160" s="1641" customFormat="1" ht="11.5" customHeight="1">
      <c r="A160" s="987"/>
      <c r="B160" s="1636"/>
      <c r="C160" s="1636"/>
      <c r="D160" s="351"/>
      <c r="J160" s="1641"/>
      <c r="L160" s="1160"/>
      <c r="M160" s="1636"/>
      <c r="N160" s="1636"/>
      <c r="O160" s="1160"/>
      <c r="P160" s="1160"/>
      <c r="Q160" s="1160"/>
      <c r="R160" s="1160"/>
      <c r="S160" s="1636"/>
      <c r="T160" s="1160"/>
      <c r="U160" s="1160"/>
      <c r="V160" s="544"/>
      <c r="W160" s="1160"/>
      <c r="X160" s="1160"/>
      <c r="Y160" s="1160"/>
      <c r="Z160" s="1160"/>
      <c r="AA160" s="1160"/>
      <c r="AB160" s="1632"/>
      <c r="AC160" s="566"/>
      <c r="AD160" s="566"/>
      <c r="AE160" s="566"/>
      <c r="AF160" s="566"/>
      <c r="AG160" s="1641">
        <v>11</v>
      </c>
    </row>
    <row r="161" s="1641" customFormat="1" ht="11.5" customHeight="1">
      <c r="A161" s="987"/>
      <c r="B161" s="1636"/>
      <c r="C161" s="1636"/>
      <c r="D161" s="351"/>
      <c r="J161" s="1641"/>
      <c r="L161" s="1160"/>
      <c r="M161" s="1636"/>
      <c r="N161" s="1636"/>
      <c r="O161" s="1160"/>
      <c r="P161" s="1160"/>
      <c r="Q161" s="1160"/>
      <c r="R161" s="1160"/>
      <c r="S161" s="1636"/>
      <c r="T161" s="1160"/>
      <c r="U161" s="1160"/>
      <c r="V161" s="544"/>
      <c r="W161" s="1160"/>
      <c r="X161" s="1160"/>
      <c r="Y161" s="1160"/>
      <c r="Z161" s="1160"/>
      <c r="AA161" s="1160"/>
      <c r="AB161" s="1632"/>
      <c r="AC161" s="566"/>
      <c r="AD161" s="566"/>
      <c r="AE161" s="566"/>
      <c r="AF161" s="566"/>
      <c r="AG161" s="1641">
        <v>11</v>
      </c>
    </row>
    <row r="162" s="1641" customFormat="1" ht="11.5" customHeight="1">
      <c r="A162" s="987"/>
      <c r="B162" s="1636"/>
      <c r="C162" s="1636"/>
      <c r="D162" s="351"/>
      <c r="J162" s="1641"/>
      <c r="L162" s="1160"/>
      <c r="M162" s="1636"/>
      <c r="N162" s="1636"/>
      <c r="O162" s="1160"/>
      <c r="P162" s="1160"/>
      <c r="Q162" s="1160"/>
      <c r="R162" s="1160"/>
      <c r="S162" s="1636"/>
      <c r="T162" s="1160"/>
      <c r="U162" s="1160"/>
      <c r="V162" s="544"/>
      <c r="W162" s="1160"/>
      <c r="X162" s="1160"/>
      <c r="Y162" s="1160"/>
      <c r="Z162" s="1160"/>
      <c r="AA162" s="1160"/>
      <c r="AB162" s="1632"/>
      <c r="AC162" s="566"/>
      <c r="AD162" s="566"/>
      <c r="AE162" s="566"/>
      <c r="AF162" s="566"/>
      <c r="AG162" s="1641">
        <v>11</v>
      </c>
    </row>
    <row r="163" s="1641" customFormat="1" ht="11.5" customHeight="1">
      <c r="A163" s="987"/>
      <c r="B163" s="1636"/>
      <c r="C163" s="1636"/>
      <c r="D163" s="351"/>
      <c r="J163" s="1641"/>
      <c r="L163" s="1160"/>
      <c r="M163" s="1636"/>
      <c r="N163" s="1636"/>
      <c r="O163" s="1160"/>
      <c r="P163" s="1160"/>
      <c r="Q163" s="1160"/>
      <c r="R163" s="1160"/>
      <c r="S163" s="1636"/>
      <c r="T163" s="1160"/>
      <c r="U163" s="1160"/>
      <c r="V163" s="544"/>
      <c r="W163" s="1160"/>
      <c r="X163" s="1160"/>
      <c r="Y163" s="1160"/>
      <c r="Z163" s="1160"/>
      <c r="AA163" s="1160"/>
      <c r="AB163" s="1632"/>
      <c r="AC163" s="566"/>
      <c r="AD163" s="566"/>
      <c r="AE163" s="566"/>
      <c r="AF163" s="566"/>
      <c r="AG163" s="1641">
        <v>11</v>
      </c>
    </row>
    <row r="164" s="1641" customFormat="1" ht="11.5" customHeight="1">
      <c r="A164" s="987"/>
      <c r="B164" s="1636"/>
      <c r="C164" s="1636"/>
      <c r="D164" s="351"/>
      <c r="J164" s="1641"/>
      <c r="L164" s="1160"/>
      <c r="M164" s="1636"/>
      <c r="N164" s="1636"/>
      <c r="O164" s="1160"/>
      <c r="P164" s="1160"/>
      <c r="Q164" s="1160"/>
      <c r="R164" s="1160"/>
      <c r="S164" s="1636"/>
      <c r="T164" s="1160"/>
      <c r="U164" s="1160"/>
      <c r="V164" s="544"/>
      <c r="W164" s="1160"/>
      <c r="X164" s="1160"/>
      <c r="Y164" s="1160"/>
      <c r="Z164" s="1160"/>
      <c r="AA164" s="1160"/>
      <c r="AB164" s="1632"/>
      <c r="AC164" s="566"/>
      <c r="AD164" s="566"/>
      <c r="AE164" s="566"/>
      <c r="AF164" s="566"/>
      <c r="AG164" s="1641">
        <v>11</v>
      </c>
    </row>
    <row r="165" s="1641" customFormat="1" ht="11.5" customHeight="1">
      <c r="A165" s="987"/>
      <c r="B165" s="1636"/>
      <c r="C165" s="1636"/>
      <c r="D165" s="351"/>
      <c r="J165" s="1641"/>
      <c r="L165" s="1160"/>
      <c r="M165" s="1636"/>
      <c r="N165" s="1636"/>
      <c r="O165" s="1160"/>
      <c r="P165" s="1160"/>
      <c r="Q165" s="1160"/>
      <c r="R165" s="1160"/>
      <c r="S165" s="1636"/>
      <c r="T165" s="1160"/>
      <c r="U165" s="1160"/>
      <c r="V165" s="544"/>
      <c r="W165" s="1160"/>
      <c r="X165" s="1160"/>
      <c r="Y165" s="1160"/>
      <c r="Z165" s="1160"/>
      <c r="AA165" s="1160"/>
      <c r="AB165" s="1632"/>
      <c r="AC165" s="566"/>
      <c r="AD165" s="566"/>
      <c r="AE165" s="566"/>
      <c r="AF165" s="566"/>
      <c r="AG165" s="1641">
        <v>11</v>
      </c>
    </row>
    <row r="166" s="1641" customFormat="1" ht="11.5" customHeight="1">
      <c r="A166" s="987"/>
      <c r="B166" s="1636"/>
      <c r="C166" s="1636"/>
      <c r="D166" s="351"/>
      <c r="J166" s="1641"/>
      <c r="L166" s="1160"/>
      <c r="M166" s="1636"/>
      <c r="N166" s="1636"/>
      <c r="O166" s="1160"/>
      <c r="P166" s="1160"/>
      <c r="Q166" s="1160"/>
      <c r="R166" s="1160"/>
      <c r="S166" s="1636"/>
      <c r="T166" s="1160"/>
      <c r="U166" s="1160"/>
      <c r="V166" s="544"/>
      <c r="W166" s="1160"/>
      <c r="X166" s="1160"/>
      <c r="Y166" s="1160"/>
      <c r="Z166" s="1160"/>
      <c r="AA166" s="1160"/>
      <c r="AB166" s="1632"/>
      <c r="AC166" s="566"/>
      <c r="AD166" s="566"/>
      <c r="AE166" s="566"/>
      <c r="AF166" s="566"/>
      <c r="AG166" s="1641">
        <v>11</v>
      </c>
    </row>
    <row r="167" s="1641" customFormat="1" ht="11.5" customHeight="1">
      <c r="A167" s="987"/>
      <c r="B167" s="1636"/>
      <c r="C167" s="1636"/>
      <c r="D167" s="351"/>
      <c r="J167" s="1641"/>
      <c r="L167" s="1160"/>
      <c r="M167" s="1636"/>
      <c r="N167" s="1636"/>
      <c r="O167" s="1160"/>
      <c r="P167" s="1160"/>
      <c r="Q167" s="1160"/>
      <c r="R167" s="1160"/>
      <c r="S167" s="1636"/>
      <c r="T167" s="1160"/>
      <c r="U167" s="1160"/>
      <c r="V167" s="544"/>
      <c r="W167" s="1160"/>
      <c r="X167" s="1160"/>
      <c r="Y167" s="1160"/>
      <c r="Z167" s="1160"/>
      <c r="AA167" s="1160"/>
      <c r="AB167" s="1632"/>
      <c r="AC167" s="566"/>
      <c r="AD167" s="566"/>
      <c r="AE167" s="566"/>
      <c r="AF167" s="566"/>
      <c r="AG167" s="1641">
        <v>11</v>
      </c>
    </row>
    <row r="168" s="1641" customFormat="1" ht="11.5" customHeight="1">
      <c r="A168" s="987"/>
      <c r="B168" s="1636"/>
      <c r="C168" s="1636"/>
      <c r="D168" s="351"/>
      <c r="J168" s="1641"/>
      <c r="L168" s="1160"/>
      <c r="M168" s="1636"/>
      <c r="N168" s="1636"/>
      <c r="O168" s="1160"/>
      <c r="P168" s="1160"/>
      <c r="Q168" s="1160"/>
      <c r="R168" s="1160"/>
      <c r="S168" s="1636"/>
      <c r="T168" s="1160"/>
      <c r="U168" s="1160"/>
      <c r="V168" s="544"/>
      <c r="W168" s="1160"/>
      <c r="X168" s="1160"/>
      <c r="Y168" s="1160"/>
      <c r="Z168" s="1160"/>
      <c r="AA168" s="1160"/>
      <c r="AB168" s="1632"/>
      <c r="AC168" s="566"/>
      <c r="AD168" s="566"/>
      <c r="AE168" s="566"/>
      <c r="AF168" s="566"/>
      <c r="AG168" s="1641">
        <v>11</v>
      </c>
    </row>
    <row r="169" s="1641" customFormat="1" ht="11.5" customHeight="1">
      <c r="A169" s="987"/>
      <c r="B169" s="1636"/>
      <c r="C169" s="1636"/>
      <c r="D169" s="351"/>
      <c r="J169" s="1641"/>
      <c r="L169" s="1160"/>
      <c r="M169" s="1636"/>
      <c r="N169" s="1636"/>
      <c r="O169" s="1160"/>
      <c r="P169" s="1160"/>
      <c r="Q169" s="1160"/>
      <c r="R169" s="1160"/>
      <c r="S169" s="1636"/>
      <c r="T169" s="1160"/>
      <c r="U169" s="1160"/>
      <c r="V169" s="544"/>
      <c r="W169" s="1160"/>
      <c r="X169" s="1160"/>
      <c r="Y169" s="1160"/>
      <c r="Z169" s="1160"/>
      <c r="AA169" s="1160"/>
      <c r="AB169" s="1632"/>
      <c r="AC169" s="566"/>
      <c r="AD169" s="566"/>
      <c r="AE169" s="566"/>
      <c r="AF169" s="566"/>
      <c r="AG169" s="1641">
        <v>11</v>
      </c>
    </row>
    <row r="170" s="1641" customFormat="1" ht="11.5" customHeight="1">
      <c r="A170" s="987"/>
      <c r="B170" s="1636"/>
      <c r="C170" s="1636"/>
      <c r="D170" s="351"/>
      <c r="J170" s="1641"/>
      <c r="L170" s="1160"/>
      <c r="M170" s="1636"/>
      <c r="N170" s="1636"/>
      <c r="O170" s="1160"/>
      <c r="P170" s="1160"/>
      <c r="Q170" s="1160"/>
      <c r="R170" s="1160"/>
      <c r="S170" s="1636"/>
      <c r="T170" s="1160"/>
      <c r="U170" s="1160"/>
      <c r="V170" s="544"/>
      <c r="W170" s="1160"/>
      <c r="X170" s="1160"/>
      <c r="Y170" s="1160"/>
      <c r="Z170" s="1160"/>
      <c r="AA170" s="1160"/>
      <c r="AB170" s="1632"/>
      <c r="AC170" s="566"/>
      <c r="AD170" s="566"/>
      <c r="AE170" s="566"/>
      <c r="AF170" s="566"/>
      <c r="AG170" s="1641">
        <v>11</v>
      </c>
    </row>
    <row r="171" s="1641" customFormat="1" ht="11.5" customHeight="1">
      <c r="A171" s="987"/>
      <c r="B171" s="1636"/>
      <c r="C171" s="1636"/>
      <c r="D171" s="351"/>
      <c r="J171" s="1641"/>
      <c r="L171" s="1160"/>
      <c r="M171" s="1636"/>
      <c r="N171" s="1636"/>
      <c r="O171" s="1160"/>
      <c r="P171" s="1160"/>
      <c r="Q171" s="1160"/>
      <c r="R171" s="1160"/>
      <c r="S171" s="1636"/>
      <c r="T171" s="1160"/>
      <c r="U171" s="1160"/>
      <c r="V171" s="544"/>
      <c r="W171" s="1160"/>
      <c r="X171" s="1160"/>
      <c r="Y171" s="1160"/>
      <c r="Z171" s="1160"/>
      <c r="AA171" s="1160"/>
      <c r="AB171" s="1632"/>
      <c r="AC171" s="566"/>
      <c r="AD171" s="566"/>
      <c r="AE171" s="566"/>
      <c r="AF171" s="566"/>
      <c r="AG171" s="1641">
        <v>11</v>
      </c>
    </row>
    <row r="172" s="1641" customFormat="1" ht="11.5" customHeight="1">
      <c r="A172" s="987"/>
      <c r="B172" s="1636"/>
      <c r="C172" s="1636"/>
      <c r="D172" s="351"/>
      <c r="J172" s="1641"/>
      <c r="L172" s="1160"/>
      <c r="M172" s="1636"/>
      <c r="N172" s="1636"/>
      <c r="O172" s="1160"/>
      <c r="P172" s="1160"/>
      <c r="Q172" s="1160"/>
      <c r="R172" s="1160"/>
      <c r="S172" s="1636"/>
      <c r="T172" s="1160"/>
      <c r="U172" s="1160"/>
      <c r="V172" s="544"/>
      <c r="W172" s="1160"/>
      <c r="X172" s="1160"/>
      <c r="Y172" s="1160"/>
      <c r="Z172" s="1160"/>
      <c r="AA172" s="1160"/>
      <c r="AB172" s="1632"/>
      <c r="AC172" s="566"/>
      <c r="AD172" s="566"/>
      <c r="AE172" s="566"/>
      <c r="AF172" s="566"/>
      <c r="AG172" s="1641">
        <v>11</v>
      </c>
    </row>
    <row r="173" s="1641" customFormat="1" ht="11.5" customHeight="1">
      <c r="A173" s="987"/>
      <c r="B173" s="1636"/>
      <c r="C173" s="1636"/>
      <c r="D173" s="351"/>
      <c r="J173" s="1641"/>
      <c r="L173" s="1160"/>
      <c r="M173" s="1636"/>
      <c r="N173" s="1636"/>
      <c r="O173" s="1160"/>
      <c r="P173" s="1160"/>
      <c r="Q173" s="1160"/>
      <c r="R173" s="1160"/>
      <c r="S173" s="1636"/>
      <c r="T173" s="1160"/>
      <c r="U173" s="1160"/>
      <c r="V173" s="544"/>
      <c r="W173" s="1160"/>
      <c r="X173" s="1160"/>
      <c r="Y173" s="1160"/>
      <c r="Z173" s="1160"/>
      <c r="AA173" s="1160"/>
      <c r="AB173" s="1632"/>
      <c r="AC173" s="566"/>
      <c r="AD173" s="566"/>
      <c r="AE173" s="566"/>
      <c r="AF173" s="566"/>
      <c r="AG173" s="1641">
        <v>11</v>
      </c>
    </row>
    <row r="174" s="1641" customFormat="1" ht="11.5" customHeight="1">
      <c r="A174" s="987"/>
      <c r="B174" s="1636"/>
      <c r="C174" s="1636"/>
      <c r="D174" s="351"/>
      <c r="J174" s="1641"/>
      <c r="L174" s="1160"/>
      <c r="M174" s="1636"/>
      <c r="N174" s="1636"/>
      <c r="O174" s="1160"/>
      <c r="P174" s="1160"/>
      <c r="Q174" s="1160"/>
      <c r="R174" s="1160"/>
      <c r="S174" s="1636"/>
      <c r="T174" s="1160"/>
      <c r="U174" s="1160"/>
      <c r="V174" s="544"/>
      <c r="W174" s="1160"/>
      <c r="X174" s="1160"/>
      <c r="Y174" s="1160"/>
      <c r="Z174" s="1160"/>
      <c r="AA174" s="1160"/>
      <c r="AB174" s="1632"/>
      <c r="AC174" s="566"/>
      <c r="AD174" s="566"/>
      <c r="AE174" s="566"/>
      <c r="AF174" s="566"/>
      <c r="AG174" s="1641">
        <v>11</v>
      </c>
    </row>
    <row r="175" s="1641" customFormat="1" ht="11.5" customHeight="1">
      <c r="A175" s="987"/>
      <c r="B175" s="1636"/>
      <c r="C175" s="1636"/>
      <c r="D175" s="351"/>
      <c r="J175" s="1641"/>
      <c r="L175" s="1160"/>
      <c r="M175" s="1636"/>
      <c r="N175" s="1636"/>
      <c r="O175" s="1160"/>
      <c r="P175" s="1160"/>
      <c r="Q175" s="1160"/>
      <c r="R175" s="1160"/>
      <c r="S175" s="1636"/>
      <c r="T175" s="1160"/>
      <c r="U175" s="1160"/>
      <c r="V175" s="544"/>
      <c r="W175" s="1160"/>
      <c r="X175" s="1160"/>
      <c r="Y175" s="1160"/>
      <c r="Z175" s="1160"/>
      <c r="AA175" s="1160"/>
      <c r="AB175" s="1632"/>
      <c r="AC175" s="566"/>
      <c r="AD175" s="566"/>
      <c r="AE175" s="566"/>
      <c r="AF175" s="566"/>
      <c r="AG175" s="1641">
        <v>11</v>
      </c>
    </row>
    <row r="176" s="1641" customFormat="1" ht="11.5" customHeight="1">
      <c r="A176" s="987"/>
      <c r="B176" s="1636"/>
      <c r="C176" s="1636"/>
      <c r="D176" s="351"/>
      <c r="J176" s="1641"/>
      <c r="L176" s="1160"/>
      <c r="M176" s="1636"/>
      <c r="N176" s="1636"/>
      <c r="O176" s="1160"/>
      <c r="P176" s="1160"/>
      <c r="Q176" s="1160"/>
      <c r="R176" s="1160"/>
      <c r="S176" s="1636"/>
      <c r="T176" s="1160"/>
      <c r="U176" s="1160"/>
      <c r="V176" s="544"/>
      <c r="W176" s="1160"/>
      <c r="X176" s="1160"/>
      <c r="Y176" s="1160"/>
      <c r="Z176" s="1160"/>
      <c r="AA176" s="1160"/>
      <c r="AB176" s="1632"/>
      <c r="AC176" s="566"/>
      <c r="AD176" s="566"/>
      <c r="AE176" s="566"/>
      <c r="AF176" s="566"/>
      <c r="AG176" s="1641">
        <v>11</v>
      </c>
    </row>
    <row r="177" s="1641" customFormat="1" ht="11.5" customHeight="1">
      <c r="A177" s="987"/>
      <c r="B177" s="1636"/>
      <c r="C177" s="1636"/>
      <c r="D177" s="351"/>
      <c r="J177" s="1641"/>
      <c r="L177" s="1160"/>
      <c r="M177" s="1636"/>
      <c r="N177" s="1636"/>
      <c r="O177" s="1160"/>
      <c r="P177" s="1160"/>
      <c r="Q177" s="1160"/>
      <c r="R177" s="1160"/>
      <c r="S177" s="1636"/>
      <c r="T177" s="1160"/>
      <c r="U177" s="1160"/>
      <c r="V177" s="544"/>
      <c r="W177" s="1160"/>
      <c r="X177" s="1160"/>
      <c r="Y177" s="1160"/>
      <c r="Z177" s="1160"/>
      <c r="AA177" s="1160"/>
      <c r="AB177" s="1632"/>
      <c r="AC177" s="566"/>
      <c r="AD177" s="566"/>
      <c r="AE177" s="566"/>
      <c r="AF177" s="566"/>
      <c r="AG177" s="1641">
        <v>11</v>
      </c>
    </row>
    <row r="178" s="1641" customFormat="1" ht="11.5" customHeight="1">
      <c r="A178" s="987"/>
      <c r="B178" s="1636"/>
      <c r="C178" s="1636"/>
      <c r="D178" s="351"/>
      <c r="J178" s="1641"/>
      <c r="L178" s="1160"/>
      <c r="M178" s="1636"/>
      <c r="N178" s="1636"/>
      <c r="O178" s="1160"/>
      <c r="P178" s="1160"/>
      <c r="Q178" s="1160"/>
      <c r="R178" s="1160"/>
      <c r="S178" s="1636"/>
      <c r="T178" s="1160"/>
      <c r="U178" s="1160"/>
      <c r="V178" s="544"/>
      <c r="W178" s="1160"/>
      <c r="X178" s="1160"/>
      <c r="Y178" s="1160"/>
      <c r="Z178" s="1160"/>
      <c r="AA178" s="1160"/>
      <c r="AB178" s="1632"/>
      <c r="AC178" s="566"/>
      <c r="AD178" s="566"/>
      <c r="AE178" s="566"/>
      <c r="AF178" s="566"/>
      <c r="AG178" s="1641">
        <v>11</v>
      </c>
    </row>
    <row r="179" s="1641" customFormat="1" ht="11.5" customHeight="1">
      <c r="A179" s="987"/>
      <c r="B179" s="1636"/>
      <c r="C179" s="1636"/>
      <c r="D179" s="351"/>
      <c r="J179" s="1641"/>
      <c r="L179" s="1160"/>
      <c r="M179" s="1636"/>
      <c r="N179" s="1636"/>
      <c r="O179" s="1160"/>
      <c r="P179" s="1160"/>
      <c r="Q179" s="1160"/>
      <c r="R179" s="1160"/>
      <c r="S179" s="1636"/>
      <c r="T179" s="1160"/>
      <c r="U179" s="1160"/>
      <c r="V179" s="544"/>
      <c r="W179" s="1160"/>
      <c r="X179" s="1160"/>
      <c r="Y179" s="1160"/>
      <c r="Z179" s="1160"/>
      <c r="AA179" s="1160"/>
      <c r="AB179" s="1632"/>
      <c r="AC179" s="566"/>
      <c r="AD179" s="566"/>
      <c r="AE179" s="566"/>
      <c r="AF179" s="566"/>
      <c r="AG179" s="1641">
        <v>11</v>
      </c>
    </row>
    <row r="180" s="1641" customFormat="1" ht="11.5" customHeight="1">
      <c r="A180" s="987"/>
      <c r="B180" s="1636"/>
      <c r="C180" s="1636"/>
      <c r="D180" s="351"/>
      <c r="J180" s="1641"/>
      <c r="L180" s="1160"/>
      <c r="M180" s="1636"/>
      <c r="N180" s="1636"/>
      <c r="O180" s="1160"/>
      <c r="P180" s="1160"/>
      <c r="Q180" s="1160"/>
      <c r="R180" s="1160"/>
      <c r="S180" s="1636"/>
      <c r="T180" s="1160"/>
      <c r="U180" s="1160"/>
      <c r="V180" s="544"/>
      <c r="W180" s="1160"/>
      <c r="X180" s="1160"/>
      <c r="Y180" s="1160"/>
      <c r="Z180" s="1160"/>
      <c r="AA180" s="1160"/>
      <c r="AB180" s="1632"/>
      <c r="AC180" s="566"/>
      <c r="AD180" s="566"/>
      <c r="AE180" s="566"/>
      <c r="AF180" s="566"/>
      <c r="AG180" s="1641">
        <v>11</v>
      </c>
    </row>
    <row r="181" s="1641" customFormat="1" ht="11.5" customHeight="1">
      <c r="A181" s="987"/>
      <c r="B181" s="1636"/>
      <c r="C181" s="1636"/>
      <c r="D181" s="351"/>
      <c r="J181" s="1641"/>
      <c r="L181" s="1160"/>
      <c r="M181" s="1636"/>
      <c r="N181" s="1636"/>
      <c r="O181" s="1160"/>
      <c r="P181" s="1160"/>
      <c r="Q181" s="1160"/>
      <c r="R181" s="1160"/>
      <c r="S181" s="1636"/>
      <c r="T181" s="1160"/>
      <c r="U181" s="1160"/>
      <c r="V181" s="544"/>
      <c r="W181" s="1160"/>
      <c r="X181" s="1160"/>
      <c r="Y181" s="1160"/>
      <c r="Z181" s="1160"/>
      <c r="AA181" s="1160"/>
      <c r="AB181" s="1632"/>
      <c r="AC181" s="566"/>
      <c r="AD181" s="566"/>
      <c r="AE181" s="566"/>
      <c r="AF181" s="566"/>
      <c r="AG181" s="1641">
        <v>11</v>
      </c>
    </row>
    <row r="182" s="1641" customFormat="1" ht="11.5" customHeight="1">
      <c r="A182" s="987"/>
      <c r="B182" s="1636"/>
      <c r="C182" s="1636"/>
      <c r="D182" s="351"/>
      <c r="J182" s="1641"/>
      <c r="L182" s="1160"/>
      <c r="M182" s="1636"/>
      <c r="N182" s="1636"/>
      <c r="O182" s="1160"/>
      <c r="P182" s="1160"/>
      <c r="Q182" s="1160"/>
      <c r="R182" s="1160"/>
      <c r="S182" s="1636"/>
      <c r="T182" s="1160"/>
      <c r="U182" s="1160"/>
      <c r="V182" s="544"/>
      <c r="W182" s="1160"/>
      <c r="X182" s="1160"/>
      <c r="Y182" s="1160"/>
      <c r="Z182" s="1160"/>
      <c r="AA182" s="1160"/>
      <c r="AB182" s="1632"/>
      <c r="AC182" s="566"/>
      <c r="AD182" s="566"/>
      <c r="AE182" s="566"/>
      <c r="AF182" s="566"/>
      <c r="AG182" s="1641">
        <v>11</v>
      </c>
    </row>
    <row r="183" s="1641" customFormat="1" ht="11.5" customHeight="1">
      <c r="A183" s="987"/>
      <c r="B183" s="1636"/>
      <c r="C183" s="1636"/>
      <c r="D183" s="351"/>
      <c r="J183" s="1641"/>
      <c r="L183" s="1160"/>
      <c r="M183" s="1636"/>
      <c r="N183" s="1636"/>
      <c r="O183" s="1160"/>
      <c r="P183" s="1160"/>
      <c r="Q183" s="1160"/>
      <c r="R183" s="1160"/>
      <c r="S183" s="1636"/>
      <c r="T183" s="1160"/>
      <c r="U183" s="1160"/>
      <c r="V183" s="544"/>
      <c r="W183" s="1160"/>
      <c r="X183" s="1160"/>
      <c r="Y183" s="1160"/>
      <c r="Z183" s="1160"/>
      <c r="AA183" s="1160"/>
      <c r="AB183" s="1632"/>
      <c r="AC183" s="566"/>
      <c r="AD183" s="566"/>
      <c r="AE183" s="566"/>
      <c r="AF183" s="566"/>
      <c r="AG183" s="1641">
        <v>11</v>
      </c>
    </row>
    <row r="184" s="1641" customFormat="1" ht="11.5" customHeight="1">
      <c r="A184" s="987"/>
      <c r="B184" s="1636"/>
      <c r="C184" s="1636"/>
      <c r="D184" s="351"/>
      <c r="J184" s="1641"/>
      <c r="L184" s="1160"/>
      <c r="M184" s="1636"/>
      <c r="N184" s="1636"/>
      <c r="O184" s="1160"/>
      <c r="P184" s="1160"/>
      <c r="Q184" s="1160"/>
      <c r="R184" s="1160"/>
      <c r="S184" s="1636"/>
      <c r="T184" s="1160"/>
      <c r="U184" s="1160"/>
      <c r="V184" s="544"/>
      <c r="W184" s="1160"/>
      <c r="X184" s="1160"/>
      <c r="Y184" s="1160"/>
      <c r="Z184" s="1160"/>
      <c r="AA184" s="1160"/>
      <c r="AB184" s="1632"/>
      <c r="AC184" s="566"/>
      <c r="AD184" s="566"/>
      <c r="AE184" s="566"/>
      <c r="AF184" s="566"/>
      <c r="AG184" s="1641">
        <v>11</v>
      </c>
    </row>
    <row r="185" s="1641" customFormat="1" ht="11.5" customHeight="1">
      <c r="A185" s="987"/>
      <c r="B185" s="1636"/>
      <c r="C185" s="1636"/>
      <c r="D185" s="351"/>
      <c r="J185" s="1641"/>
      <c r="L185" s="1160"/>
      <c r="M185" s="1636"/>
      <c r="N185" s="1636"/>
      <c r="O185" s="1160"/>
      <c r="P185" s="1160"/>
      <c r="Q185" s="1160"/>
      <c r="R185" s="1160"/>
      <c r="S185" s="1636"/>
      <c r="T185" s="1160"/>
      <c r="U185" s="1160"/>
      <c r="V185" s="544"/>
      <c r="W185" s="1160"/>
      <c r="X185" s="1160"/>
      <c r="Y185" s="1160"/>
      <c r="Z185" s="1160"/>
      <c r="AA185" s="1160"/>
      <c r="AB185" s="1632"/>
      <c r="AC185" s="566"/>
      <c r="AD185" s="566"/>
      <c r="AE185" s="566"/>
      <c r="AF185" s="566"/>
      <c r="AG185" s="1641">
        <v>11</v>
      </c>
    </row>
    <row r="186" s="1641" customFormat="1" ht="11.5" customHeight="1">
      <c r="A186" s="987"/>
      <c r="B186" s="1636"/>
      <c r="C186" s="1636"/>
      <c r="D186" s="351"/>
      <c r="J186" s="1641"/>
      <c r="L186" s="1160"/>
      <c r="M186" s="1636"/>
      <c r="N186" s="1636"/>
      <c r="O186" s="1160"/>
      <c r="P186" s="1160"/>
      <c r="Q186" s="1160"/>
      <c r="R186" s="1160"/>
      <c r="S186" s="1636"/>
      <c r="T186" s="1160"/>
      <c r="U186" s="1160"/>
      <c r="V186" s="544"/>
      <c r="W186" s="1160"/>
      <c r="X186" s="1160"/>
      <c r="Y186" s="1160"/>
      <c r="Z186" s="1160"/>
      <c r="AA186" s="1160"/>
      <c r="AB186" s="1632"/>
      <c r="AC186" s="566"/>
      <c r="AD186" s="566"/>
      <c r="AE186" s="566"/>
      <c r="AF186" s="566"/>
      <c r="AG186" s="1641">
        <v>11</v>
      </c>
    </row>
    <row r="187" s="1641" customFormat="1" ht="11.5" customHeight="1">
      <c r="A187" s="987"/>
      <c r="B187" s="1636"/>
      <c r="C187" s="1636"/>
      <c r="D187" s="351"/>
      <c r="J187" s="1641"/>
      <c r="L187" s="1160"/>
      <c r="M187" s="1636"/>
      <c r="N187" s="1636"/>
      <c r="O187" s="1160"/>
      <c r="P187" s="1160"/>
      <c r="Q187" s="1160"/>
      <c r="R187" s="1160"/>
      <c r="S187" s="1636"/>
      <c r="T187" s="1160"/>
      <c r="U187" s="1160"/>
      <c r="V187" s="544"/>
      <c r="W187" s="1160"/>
      <c r="X187" s="1160"/>
      <c r="Y187" s="1160"/>
      <c r="Z187" s="1160"/>
      <c r="AA187" s="1160"/>
      <c r="AB187" s="1632"/>
      <c r="AC187" s="566"/>
      <c r="AD187" s="566"/>
      <c r="AE187" s="566"/>
      <c r="AF187" s="566"/>
      <c r="AG187" s="1641">
        <v>11</v>
      </c>
    </row>
    <row r="188" s="1641" customFormat="1" ht="11.5" customHeight="1">
      <c r="A188" s="987"/>
      <c r="B188" s="1636"/>
      <c r="C188" s="1636"/>
      <c r="D188" s="351"/>
      <c r="J188" s="1641"/>
      <c r="L188" s="1160"/>
      <c r="M188" s="1636"/>
      <c r="N188" s="1636"/>
      <c r="O188" s="1160"/>
      <c r="P188" s="1160"/>
      <c r="Q188" s="1160"/>
      <c r="R188" s="1160"/>
      <c r="S188" s="1636"/>
      <c r="T188" s="1160"/>
      <c r="U188" s="1160"/>
      <c r="V188" s="544"/>
      <c r="W188" s="1160"/>
      <c r="X188" s="1160"/>
      <c r="Y188" s="1160"/>
      <c r="Z188" s="1160"/>
      <c r="AA188" s="1160"/>
      <c r="AB188" s="1632"/>
      <c r="AC188" s="566"/>
      <c r="AD188" s="566"/>
      <c r="AE188" s="566"/>
      <c r="AF188" s="566"/>
      <c r="AG188" s="1641">
        <v>11</v>
      </c>
    </row>
    <row r="189" s="1641" customFormat="1" ht="11.5" customHeight="1">
      <c r="A189" s="987"/>
      <c r="B189" s="1636"/>
      <c r="C189" s="1636"/>
      <c r="D189" s="351"/>
      <c r="J189" s="1641"/>
      <c r="L189" s="1160"/>
      <c r="M189" s="1636"/>
      <c r="N189" s="1636"/>
      <c r="O189" s="1160"/>
      <c r="P189" s="1160"/>
      <c r="Q189" s="1160"/>
      <c r="R189" s="1160"/>
      <c r="S189" s="1636"/>
      <c r="T189" s="1160"/>
      <c r="U189" s="1160"/>
      <c r="V189" s="544"/>
      <c r="W189" s="1160"/>
      <c r="X189" s="1160"/>
      <c r="Y189" s="1160"/>
      <c r="Z189" s="1160"/>
      <c r="AA189" s="1160"/>
      <c r="AB189" s="1632"/>
      <c r="AC189" s="566"/>
      <c r="AD189" s="566"/>
      <c r="AE189" s="566"/>
      <c r="AF189" s="566"/>
      <c r="AG189" s="1641">
        <v>11</v>
      </c>
    </row>
    <row r="190" s="1641" customFormat="1" ht="11.5" customHeight="1">
      <c r="A190" s="987"/>
      <c r="B190" s="1636"/>
      <c r="C190" s="1636"/>
      <c r="D190" s="351"/>
      <c r="J190" s="1641"/>
      <c r="L190" s="1160"/>
      <c r="M190" s="1636"/>
      <c r="N190" s="1636"/>
      <c r="O190" s="1160"/>
      <c r="P190" s="1160"/>
      <c r="Q190" s="1160"/>
      <c r="R190" s="1160"/>
      <c r="S190" s="1636"/>
      <c r="T190" s="1160"/>
      <c r="U190" s="1160"/>
      <c r="V190" s="544"/>
      <c r="W190" s="1160"/>
      <c r="X190" s="1160"/>
      <c r="Y190" s="1160"/>
      <c r="Z190" s="1160"/>
      <c r="AA190" s="1160"/>
      <c r="AB190" s="1632"/>
      <c r="AC190" s="566"/>
      <c r="AD190" s="566"/>
      <c r="AE190" s="566"/>
      <c r="AF190" s="566"/>
      <c r="AG190" s="1641">
        <v>11</v>
      </c>
    </row>
    <row r="191" s="1641" customFormat="1" ht="11.5" customHeight="1">
      <c r="A191" s="987"/>
      <c r="B191" s="1636"/>
      <c r="C191" s="1636"/>
      <c r="D191" s="351"/>
      <c r="J191" s="1641"/>
      <c r="L191" s="1160"/>
      <c r="M191" s="1636"/>
      <c r="N191" s="1636"/>
      <c r="O191" s="1160"/>
      <c r="P191" s="1160"/>
      <c r="Q191" s="1160"/>
      <c r="R191" s="1160"/>
      <c r="S191" s="1636"/>
      <c r="T191" s="1160"/>
      <c r="U191" s="1160"/>
      <c r="V191" s="544"/>
      <c r="W191" s="1160"/>
      <c r="X191" s="1160"/>
      <c r="Y191" s="1160"/>
      <c r="Z191" s="1160"/>
      <c r="AA191" s="1160"/>
      <c r="AB191" s="1632"/>
      <c r="AC191" s="566"/>
      <c r="AD191" s="566"/>
      <c r="AE191" s="566"/>
      <c r="AF191" s="566"/>
      <c r="AG191" s="1641">
        <v>11</v>
      </c>
    </row>
    <row r="192" s="1641" customFormat="1" ht="11.5" customHeight="1">
      <c r="A192" s="987"/>
      <c r="B192" s="1636"/>
      <c r="C192" s="1636"/>
      <c r="D192" s="351"/>
      <c r="J192" s="1641"/>
      <c r="L192" s="1160"/>
      <c r="M192" s="1636"/>
      <c r="N192" s="1636"/>
      <c r="O192" s="1160"/>
      <c r="P192" s="1160"/>
      <c r="Q192" s="1160"/>
      <c r="R192" s="1160"/>
      <c r="S192" s="1636"/>
      <c r="T192" s="1160"/>
      <c r="U192" s="1160"/>
      <c r="V192" s="544"/>
      <c r="W192" s="1160"/>
      <c r="X192" s="1160"/>
      <c r="Y192" s="1160"/>
      <c r="Z192" s="1160"/>
      <c r="AA192" s="1160"/>
      <c r="AB192" s="1632"/>
      <c r="AC192" s="566"/>
      <c r="AD192" s="566"/>
      <c r="AE192" s="566"/>
      <c r="AF192" s="566"/>
      <c r="AG192" s="1641">
        <v>11</v>
      </c>
    </row>
    <row r="193" s="1641" customFormat="1" ht="11.5" customHeight="1">
      <c r="A193" s="987"/>
      <c r="B193" s="1636"/>
      <c r="C193" s="1636"/>
      <c r="D193" s="351"/>
      <c r="J193" s="1641"/>
      <c r="L193" s="1160"/>
      <c r="M193" s="1636"/>
      <c r="N193" s="1636"/>
      <c r="O193" s="1160"/>
      <c r="P193" s="1160"/>
      <c r="Q193" s="1160"/>
      <c r="R193" s="1160"/>
      <c r="S193" s="1636"/>
      <c r="T193" s="1160"/>
      <c r="U193" s="1160"/>
      <c r="V193" s="544"/>
      <c r="W193" s="1160"/>
      <c r="X193" s="1160"/>
      <c r="Y193" s="1160"/>
      <c r="Z193" s="1160"/>
      <c r="AA193" s="1160"/>
      <c r="AB193" s="1632"/>
      <c r="AC193" s="566"/>
      <c r="AD193" s="566"/>
      <c r="AE193" s="566"/>
      <c r="AF193" s="566"/>
      <c r="AG193" s="1641">
        <v>11</v>
      </c>
    </row>
    <row r="194" s="1641" customFormat="1" ht="11.5" customHeight="1">
      <c r="A194" s="987"/>
      <c r="B194" s="1636"/>
      <c r="C194" s="1636"/>
      <c r="D194" s="351"/>
      <c r="J194" s="1641"/>
      <c r="L194" s="1160"/>
      <c r="M194" s="1636"/>
      <c r="N194" s="1636"/>
      <c r="O194" s="1160"/>
      <c r="P194" s="1160"/>
      <c r="Q194" s="1160"/>
      <c r="R194" s="1160"/>
      <c r="S194" s="1636"/>
      <c r="T194" s="1160"/>
      <c r="U194" s="1160"/>
      <c r="V194" s="544"/>
      <c r="W194" s="1160"/>
      <c r="X194" s="1160"/>
      <c r="Y194" s="1160"/>
      <c r="Z194" s="1160"/>
      <c r="AA194" s="1160"/>
      <c r="AB194" s="1632"/>
      <c r="AC194" s="566"/>
      <c r="AD194" s="566"/>
      <c r="AE194" s="566"/>
      <c r="AF194" s="566"/>
      <c r="AG194" s="1641">
        <v>11</v>
      </c>
    </row>
    <row r="195" s="1641" customFormat="1" ht="11.5" customHeight="1">
      <c r="A195" s="987"/>
      <c r="B195" s="1636"/>
      <c r="C195" s="1636"/>
      <c r="D195" s="351"/>
      <c r="J195" s="1641"/>
      <c r="L195" s="1160"/>
      <c r="M195" s="1636"/>
      <c r="N195" s="1636"/>
      <c r="O195" s="1160"/>
      <c r="P195" s="1160"/>
      <c r="Q195" s="1160"/>
      <c r="R195" s="1160"/>
      <c r="S195" s="1636"/>
      <c r="T195" s="1160"/>
      <c r="U195" s="1160"/>
      <c r="V195" s="544"/>
      <c r="W195" s="1160"/>
      <c r="X195" s="1160"/>
      <c r="Y195" s="1160"/>
      <c r="Z195" s="1160"/>
      <c r="AA195" s="1160"/>
      <c r="AB195" s="1632"/>
      <c r="AC195" s="566"/>
      <c r="AD195" s="566"/>
      <c r="AE195" s="566"/>
      <c r="AF195" s="566"/>
      <c r="AG195" s="1641">
        <v>11</v>
      </c>
    </row>
    <row r="196" s="1641" customFormat="1" ht="11.5" customHeight="1">
      <c r="A196" s="987"/>
      <c r="B196" s="1636"/>
      <c r="C196" s="1636"/>
      <c r="D196" s="351"/>
      <c r="J196" s="1641"/>
      <c r="L196" s="1160"/>
      <c r="M196" s="1636"/>
      <c r="N196" s="1636"/>
      <c r="O196" s="1160"/>
      <c r="P196" s="1160"/>
      <c r="Q196" s="1160"/>
      <c r="R196" s="1160"/>
      <c r="S196" s="1636"/>
      <c r="T196" s="1160"/>
      <c r="U196" s="1160"/>
      <c r="V196" s="544"/>
      <c r="W196" s="1160"/>
      <c r="X196" s="1160"/>
      <c r="Y196" s="1160"/>
      <c r="Z196" s="1160"/>
      <c r="AA196" s="1160"/>
      <c r="AB196" s="1632"/>
      <c r="AC196" s="566"/>
      <c r="AD196" s="566"/>
      <c r="AE196" s="566"/>
      <c r="AF196" s="566"/>
      <c r="AG196" s="1641">
        <v>11</v>
      </c>
    </row>
    <row r="197" s="1641" customFormat="1" ht="11.5" customHeight="1">
      <c r="A197" s="987"/>
      <c r="B197" s="1636"/>
      <c r="C197" s="1636"/>
      <c r="D197" s="351"/>
      <c r="J197" s="1641"/>
      <c r="L197" s="1160"/>
      <c r="M197" s="1636"/>
      <c r="N197" s="1636"/>
      <c r="O197" s="1160"/>
      <c r="P197" s="1160"/>
      <c r="Q197" s="1160"/>
      <c r="R197" s="1160"/>
      <c r="S197" s="1636"/>
      <c r="T197" s="1160"/>
      <c r="U197" s="1160"/>
      <c r="V197" s="544"/>
      <c r="W197" s="1160"/>
      <c r="X197" s="1160"/>
      <c r="Y197" s="1160"/>
      <c r="Z197" s="1160"/>
      <c r="AA197" s="1160"/>
      <c r="AB197" s="1632"/>
      <c r="AC197" s="566"/>
      <c r="AD197" s="566"/>
      <c r="AE197" s="566"/>
      <c r="AF197" s="566"/>
      <c r="AG197" s="1641">
        <v>11</v>
      </c>
    </row>
    <row r="198" s="1641" customFormat="1" ht="11.5" customHeight="1">
      <c r="A198" s="987"/>
      <c r="B198" s="1636"/>
      <c r="C198" s="1636"/>
      <c r="D198" s="351"/>
      <c r="J198" s="1641"/>
      <c r="L198" s="1160"/>
      <c r="M198" s="1636"/>
      <c r="N198" s="1636"/>
      <c r="O198" s="1160"/>
      <c r="P198" s="1160"/>
      <c r="Q198" s="1160"/>
      <c r="R198" s="1160"/>
      <c r="S198" s="1636"/>
      <c r="T198" s="1160"/>
      <c r="U198" s="1160"/>
      <c r="V198" s="544"/>
      <c r="W198" s="1160"/>
      <c r="X198" s="1160"/>
      <c r="Y198" s="1160"/>
      <c r="Z198" s="1160"/>
      <c r="AA198" s="1160"/>
      <c r="AB198" s="1632"/>
      <c r="AC198" s="566"/>
      <c r="AD198" s="566"/>
      <c r="AE198" s="566"/>
      <c r="AF198" s="566"/>
      <c r="AG198" s="1641">
        <v>11</v>
      </c>
    </row>
    <row r="199" s="1641" customFormat="1" ht="11.5" customHeight="1">
      <c r="A199" s="987"/>
      <c r="B199" s="1636"/>
      <c r="C199" s="1636"/>
      <c r="D199" s="351"/>
      <c r="J199" s="1641"/>
      <c r="L199" s="1160"/>
      <c r="M199" s="1636"/>
      <c r="N199" s="1636"/>
      <c r="O199" s="1160"/>
      <c r="P199" s="1160"/>
      <c r="Q199" s="1160"/>
      <c r="R199" s="1160"/>
      <c r="S199" s="1636"/>
      <c r="T199" s="1160"/>
      <c r="U199" s="1160"/>
      <c r="V199" s="544"/>
      <c r="W199" s="1160"/>
      <c r="X199" s="1160"/>
      <c r="Y199" s="1160"/>
      <c r="Z199" s="1160"/>
      <c r="AA199" s="1160"/>
      <c r="AB199" s="1632"/>
      <c r="AC199" s="566"/>
      <c r="AD199" s="566"/>
      <c r="AE199" s="566"/>
      <c r="AF199" s="566"/>
      <c r="AG199" s="1641">
        <v>11</v>
      </c>
    </row>
    <row r="200" s="1641" customFormat="1" ht="11.5" customHeight="1">
      <c r="A200" s="987"/>
      <c r="B200" s="1636"/>
      <c r="C200" s="1636"/>
      <c r="D200" s="351"/>
      <c r="J200" s="1641"/>
      <c r="L200" s="1160"/>
      <c r="M200" s="1636"/>
      <c r="N200" s="1636"/>
      <c r="O200" s="1160"/>
      <c r="P200" s="1160"/>
      <c r="Q200" s="1160"/>
      <c r="R200" s="1160"/>
      <c r="S200" s="1636"/>
      <c r="T200" s="1160"/>
      <c r="U200" s="1160"/>
      <c r="V200" s="544"/>
      <c r="W200" s="1160"/>
      <c r="X200" s="1160"/>
      <c r="Y200" s="1160"/>
      <c r="Z200" s="1160"/>
      <c r="AA200" s="1160"/>
      <c r="AB200" s="1632"/>
      <c r="AC200" s="566"/>
      <c r="AD200" s="566"/>
      <c r="AE200" s="566"/>
      <c r="AF200" s="566"/>
      <c r="AG200" s="1641">
        <v>11</v>
      </c>
    </row>
    <row r="201" s="1641" customFormat="1" ht="11.5" customHeight="1">
      <c r="A201" s="987"/>
      <c r="B201" s="1636"/>
      <c r="C201" s="1636"/>
      <c r="D201" s="351"/>
      <c r="J201" s="1641"/>
      <c r="L201" s="1160"/>
      <c r="M201" s="1636"/>
      <c r="N201" s="1636"/>
      <c r="O201" s="1160"/>
      <c r="P201" s="1160"/>
      <c r="Q201" s="1160"/>
      <c r="R201" s="1160"/>
      <c r="S201" s="1636"/>
      <c r="T201" s="1160"/>
      <c r="U201" s="1160"/>
      <c r="V201" s="544"/>
      <c r="W201" s="1160"/>
      <c r="X201" s="1160"/>
      <c r="Y201" s="1160"/>
      <c r="Z201" s="1160"/>
      <c r="AA201" s="1160"/>
      <c r="AB201" s="1632"/>
      <c r="AC201" s="566"/>
      <c r="AD201" s="566"/>
      <c r="AE201" s="566"/>
      <c r="AF201" s="566"/>
      <c r="AG201" s="1641">
        <v>11</v>
      </c>
    </row>
    <row r="202" s="1641" customFormat="1" ht="11.5" customHeight="1">
      <c r="A202" s="987"/>
      <c r="B202" s="1636"/>
      <c r="C202" s="1636"/>
      <c r="D202" s="351"/>
      <c r="J202" s="1641"/>
      <c r="L202" s="1160"/>
      <c r="M202" s="1636"/>
      <c r="N202" s="1636"/>
      <c r="O202" s="1160"/>
      <c r="P202" s="1160"/>
      <c r="Q202" s="1160"/>
      <c r="R202" s="1160"/>
      <c r="S202" s="1636"/>
      <c r="T202" s="1160"/>
      <c r="U202" s="1160"/>
      <c r="V202" s="544"/>
      <c r="W202" s="1160"/>
      <c r="X202" s="1160"/>
      <c r="Y202" s="1160"/>
      <c r="Z202" s="1160"/>
      <c r="AA202" s="1160"/>
      <c r="AB202" s="1632"/>
      <c r="AC202" s="566"/>
      <c r="AD202" s="566"/>
      <c r="AE202" s="566"/>
      <c r="AF202" s="566"/>
      <c r="AG202" s="1641">
        <v>11</v>
      </c>
    </row>
    <row r="203" ht="11.5" customHeight="1">
      <c r="J203" s="1635"/>
      <c r="AG203" s="1631">
        <v>11</v>
      </c>
    </row>
    <row r="204" ht="11.5" customHeight="1">
      <c r="J204" s="1635"/>
      <c r="AG204" s="1631">
        <v>11</v>
      </c>
    </row>
    <row r="205" ht="11.5" customHeight="1">
      <c r="J205" s="1635"/>
      <c r="AG205" s="1631">
        <v>11</v>
      </c>
    </row>
    <row r="206" ht="11.5" customHeight="1">
      <c r="A206" s="990"/>
      <c r="B206" s="1631"/>
      <c r="D206" s="1631"/>
      <c r="J206" s="1635"/>
      <c r="L206" s="1631"/>
      <c r="O206" s="1631"/>
      <c r="P206" s="1631"/>
      <c r="Q206" s="1631"/>
      <c r="R206" s="1631"/>
      <c r="T206" s="1631"/>
      <c r="U206" s="1631"/>
      <c r="V206" s="1631"/>
      <c r="W206" s="1631"/>
      <c r="X206" s="1631"/>
      <c r="Y206" s="1631"/>
      <c r="Z206" s="1631"/>
      <c r="AA206" s="1631"/>
      <c r="AB206" s="1631"/>
      <c r="AC206" s="1631"/>
      <c r="AD206" s="1631"/>
      <c r="AE206" s="1631"/>
      <c r="AF206" s="1631"/>
      <c r="AG206" s="1631">
        <v>11</v>
      </c>
    </row>
    <row r="207" ht="11.5" customHeight="1">
      <c r="A207" s="990"/>
      <c r="B207" s="1631"/>
      <c r="D207" s="1631"/>
      <c r="J207" s="1635"/>
      <c r="L207" s="1631"/>
      <c r="O207" s="1631"/>
      <c r="P207" s="1631"/>
      <c r="Q207" s="1631"/>
      <c r="R207" s="1631"/>
      <c r="T207" s="1631"/>
      <c r="U207" s="1631"/>
      <c r="V207" s="1631"/>
      <c r="W207" s="1631"/>
      <c r="X207" s="1631"/>
      <c r="Y207" s="1631"/>
      <c r="Z207" s="1631"/>
      <c r="AA207" s="1631"/>
      <c r="AB207" s="1631"/>
      <c r="AC207" s="1631"/>
      <c r="AD207" s="1631"/>
      <c r="AE207" s="1631"/>
      <c r="AF207" s="1631"/>
      <c r="AG207" s="1631">
        <v>11</v>
      </c>
    </row>
    <row r="208" ht="11.5" customHeight="1">
      <c r="A208" s="990"/>
      <c r="B208" s="1631"/>
      <c r="D208" s="1631"/>
      <c r="J208" s="1635"/>
      <c r="L208" s="1631"/>
      <c r="O208" s="1631"/>
      <c r="P208" s="1631"/>
      <c r="Q208" s="1631"/>
      <c r="R208" s="1631"/>
      <c r="T208" s="1631"/>
      <c r="U208" s="1631"/>
      <c r="V208" s="1631"/>
      <c r="W208" s="1631"/>
      <c r="X208" s="1631"/>
      <c r="Y208" s="1631"/>
      <c r="Z208" s="1631"/>
      <c r="AA208" s="1631"/>
      <c r="AB208" s="1631"/>
      <c r="AC208" s="1631"/>
      <c r="AD208" s="1631"/>
      <c r="AE208" s="1631"/>
      <c r="AF208" s="1631"/>
      <c r="AG208" s="1631">
        <v>11</v>
      </c>
    </row>
    <row r="209" ht="11.5" customHeight="1">
      <c r="A209" s="990"/>
      <c r="B209" s="1631"/>
      <c r="D209" s="1631"/>
      <c r="J209" s="1635"/>
      <c r="L209" s="1631"/>
      <c r="O209" s="1631"/>
      <c r="P209" s="1631"/>
      <c r="Q209" s="1631"/>
      <c r="R209" s="1631"/>
      <c r="T209" s="1631"/>
      <c r="U209" s="1631"/>
      <c r="V209" s="1631"/>
      <c r="W209" s="1631"/>
      <c r="X209" s="1631"/>
      <c r="Y209" s="1631"/>
      <c r="Z209" s="1631"/>
      <c r="AA209" s="1631"/>
      <c r="AB209" s="1631"/>
      <c r="AC209" s="1631"/>
      <c r="AD209" s="1631"/>
      <c r="AE209" s="1631"/>
      <c r="AF209" s="1631"/>
      <c r="AG209" s="1631">
        <v>11</v>
      </c>
    </row>
    <row r="210" ht="11.5" customHeight="1">
      <c r="A210" s="990"/>
      <c r="B210" s="1631"/>
      <c r="D210" s="1631"/>
      <c r="J210" s="1635"/>
      <c r="L210" s="1631"/>
      <c r="O210" s="1631"/>
      <c r="P210" s="1631"/>
      <c r="Q210" s="1631"/>
      <c r="R210" s="1631"/>
      <c r="T210" s="1631"/>
      <c r="U210" s="1631"/>
      <c r="V210" s="1631"/>
      <c r="W210" s="1631"/>
      <c r="X210" s="1631"/>
      <c r="Y210" s="1631"/>
      <c r="Z210" s="1631"/>
      <c r="AA210" s="1631"/>
      <c r="AB210" s="1631"/>
      <c r="AC210" s="1631"/>
      <c r="AD210" s="1631"/>
      <c r="AE210" s="1631"/>
      <c r="AF210" s="1631"/>
      <c r="AG210" s="1631">
        <v>11</v>
      </c>
    </row>
    <row r="211" ht="11.5" customHeight="1">
      <c r="A211" s="990"/>
      <c r="B211" s="1631"/>
      <c r="D211" s="1631"/>
      <c r="J211" s="1635"/>
      <c r="L211" s="1631"/>
      <c r="O211" s="1631"/>
      <c r="P211" s="1631"/>
      <c r="Q211" s="1631"/>
      <c r="R211" s="1631"/>
      <c r="T211" s="1631"/>
      <c r="U211" s="1631"/>
      <c r="V211" s="1631"/>
      <c r="W211" s="1631"/>
      <c r="X211" s="1631"/>
      <c r="Y211" s="1631"/>
      <c r="Z211" s="1631"/>
      <c r="AA211" s="1631"/>
      <c r="AB211" s="1631"/>
      <c r="AC211" s="1631"/>
      <c r="AD211" s="1631"/>
      <c r="AE211" s="1631"/>
      <c r="AF211" s="1631"/>
      <c r="AG211" s="1631">
        <v>11</v>
      </c>
    </row>
    <row r="212" ht="11.5" customHeight="1">
      <c r="A212" s="990"/>
      <c r="B212" s="1631"/>
      <c r="D212" s="1631"/>
      <c r="J212" s="1635"/>
      <c r="L212" s="1631"/>
      <c r="O212" s="1631"/>
      <c r="P212" s="1631"/>
      <c r="Q212" s="1631"/>
      <c r="R212" s="1631"/>
      <c r="T212" s="1631"/>
      <c r="U212" s="1631"/>
      <c r="V212" s="1631"/>
      <c r="W212" s="1631"/>
      <c r="X212" s="1631"/>
      <c r="Y212" s="1631"/>
      <c r="Z212" s="1631"/>
      <c r="AA212" s="1631"/>
      <c r="AB212" s="1631"/>
      <c r="AC212" s="1631"/>
      <c r="AD212" s="1631"/>
      <c r="AE212" s="1631"/>
      <c r="AF212" s="1631"/>
      <c r="AG212" s="1631">
        <v>11</v>
      </c>
    </row>
    <row r="213" ht="11.5" customHeight="1">
      <c r="A213" s="990"/>
      <c r="B213" s="1631"/>
      <c r="D213" s="1631"/>
      <c r="J213" s="1635"/>
      <c r="L213" s="1631"/>
      <c r="O213" s="1631"/>
      <c r="P213" s="1631"/>
      <c r="Q213" s="1631"/>
      <c r="R213" s="1631"/>
      <c r="T213" s="1631"/>
      <c r="U213" s="1631"/>
      <c r="V213" s="1631"/>
      <c r="W213" s="1631"/>
      <c r="X213" s="1631"/>
      <c r="Y213" s="1631"/>
      <c r="Z213" s="1631"/>
      <c r="AA213" s="1631"/>
      <c r="AB213" s="1631"/>
      <c r="AC213" s="1631"/>
      <c r="AD213" s="1631"/>
      <c r="AE213" s="1631"/>
      <c r="AF213" s="1631"/>
      <c r="AG213" s="1631">
        <v>11</v>
      </c>
    </row>
    <row r="214" ht="11.5" customHeight="1">
      <c r="A214" s="990"/>
      <c r="B214" s="1631"/>
      <c r="D214" s="1631"/>
      <c r="J214" s="1635"/>
      <c r="L214" s="1631"/>
      <c r="O214" s="1631"/>
      <c r="P214" s="1631"/>
      <c r="Q214" s="1631"/>
      <c r="R214" s="1631"/>
      <c r="T214" s="1631"/>
      <c r="U214" s="1631"/>
      <c r="V214" s="1631"/>
      <c r="W214" s="1631"/>
      <c r="X214" s="1631"/>
      <c r="Y214" s="1631"/>
      <c r="Z214" s="1631"/>
      <c r="AA214" s="1631"/>
      <c r="AB214" s="1631"/>
      <c r="AC214" s="1631"/>
      <c r="AD214" s="1631"/>
      <c r="AE214" s="1631"/>
      <c r="AF214" s="1631"/>
      <c r="AG214" s="1631">
        <v>11</v>
      </c>
    </row>
    <row r="215" ht="11.5" customHeight="1">
      <c r="A215" s="990"/>
      <c r="B215" s="1631"/>
      <c r="D215" s="1631"/>
      <c r="J215" s="1635"/>
      <c r="L215" s="1631"/>
      <c r="O215" s="1631"/>
      <c r="P215" s="1631"/>
      <c r="Q215" s="1631"/>
      <c r="R215" s="1631"/>
      <c r="T215" s="1631"/>
      <c r="U215" s="1631"/>
      <c r="V215" s="1631"/>
      <c r="W215" s="1631"/>
      <c r="X215" s="1631"/>
      <c r="Y215" s="1631"/>
      <c r="Z215" s="1631"/>
      <c r="AA215" s="1631"/>
      <c r="AB215" s="1631"/>
      <c r="AC215" s="1631"/>
      <c r="AD215" s="1631"/>
      <c r="AE215" s="1631"/>
      <c r="AF215" s="1631"/>
      <c r="AG215" s="1631">
        <v>11</v>
      </c>
    </row>
    <row r="216" ht="11.5" customHeight="1">
      <c r="A216" s="990"/>
      <c r="B216" s="1631"/>
      <c r="D216" s="1631"/>
      <c r="J216" s="1635"/>
      <c r="L216" s="1631"/>
      <c r="O216" s="1631"/>
      <c r="P216" s="1631"/>
      <c r="Q216" s="1631"/>
      <c r="R216" s="1631"/>
      <c r="T216" s="1631"/>
      <c r="U216" s="1631"/>
      <c r="V216" s="1631"/>
      <c r="W216" s="1631"/>
      <c r="X216" s="1631"/>
      <c r="Y216" s="1631"/>
      <c r="Z216" s="1631"/>
      <c r="AA216" s="1631"/>
      <c r="AB216" s="1631"/>
      <c r="AC216" s="1631"/>
      <c r="AD216" s="1631"/>
      <c r="AE216" s="1631"/>
      <c r="AF216" s="1631"/>
      <c r="AG216" s="1631">
        <v>11</v>
      </c>
    </row>
    <row r="217" ht="11.25" hidden="1" customHeight="1">
      <c r="A217" s="987" t="s">
        <v>81</v>
      </c>
      <c r="B217" s="1160">
        <v>0</v>
      </c>
      <c r="C217" s="1636">
        <v>0</v>
      </c>
      <c r="D217" s="1635">
        <v>3</v>
      </c>
      <c r="E217" s="1631">
        <v>7</v>
      </c>
      <c r="F217" s="1631">
        <v>56</v>
      </c>
      <c r="G217" s="1631">
        <v>10</v>
      </c>
      <c r="H217" s="1631">
        <v>0</v>
      </c>
      <c r="I217" s="1631">
        <v>40</v>
      </c>
      <c r="J217" s="1635">
        <v>0</v>
      </c>
      <c r="K217" s="1631">
        <v>102</v>
      </c>
      <c r="L217" s="1160">
        <v>9</v>
      </c>
      <c r="M217" s="1636">
        <v>5</v>
      </c>
      <c r="N217" s="1636">
        <v>3</v>
      </c>
      <c r="O217" s="1160">
        <v>3</v>
      </c>
      <c r="P217" s="1160">
        <v>3</v>
      </c>
      <c r="Q217" s="1160">
        <v>3</v>
      </c>
      <c r="R217" s="1160">
        <v>3</v>
      </c>
      <c r="S217" s="1636">
        <v>10</v>
      </c>
      <c r="T217" s="1160">
        <v>34</v>
      </c>
      <c r="U217" s="1160">
        <v>9</v>
      </c>
      <c r="V217" s="544">
        <v>8</v>
      </c>
      <c r="W217" s="1160">
        <v>8</v>
      </c>
      <c r="X217" s="1160">
        <v>8</v>
      </c>
      <c r="Y217" s="1160">
        <v>8</v>
      </c>
      <c r="Z217" s="1160">
        <v>8</v>
      </c>
      <c r="AA217" s="1160">
        <v>8</v>
      </c>
      <c r="AB217" s="1632">
        <v>8</v>
      </c>
      <c r="AC217" s="1632">
        <v>8</v>
      </c>
      <c r="AD217" s="1632">
        <v>8</v>
      </c>
      <c r="AE217" s="1632">
        <v>8</v>
      </c>
      <c r="AF217" s="1632">
        <v>8</v>
      </c>
      <c r="AG217" s="1631">
        <v>11</v>
      </c>
    </row>
  </sheetData>
  <sheetProtection autoFilter="0" deleteColumns="0" deleteRows="0" formatColumns="0" formatRows="0" insertColumns="1" insertRows="0" sort="0"/>
  <mergeCells count="7">
    <mergeCell ref="E6:I6"/>
    <mergeCell ref="E7:I7"/>
    <mergeCell ref="F10:G10"/>
    <mergeCell ref="K10:K14"/>
    <mergeCell ref="F11:G11"/>
    <mergeCell ref="F12:G12"/>
    <mergeCell ref="E13:G13"/>
  </mergeCells>
  <pageMargins left="0.69999999999999996" right="0.69999999999999996" top="0.75" bottom="0.75" header="0.29999999999999999" footer="0.29999999999999999"/>
  <pageSetup paperSize="9"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5">
        <x14:dataValidation xr:uid="{00920033-00FD-4622-AAB8-00D400AE0018}" type="decimal" allowBlank="1" error="Допускается ввод только действительных чисел!" errorTitle="Ошибка" showErrorMessage="1">
          <x14:formula1>
            <xm:f>-9.99999999999999E+37</xm:f>
          </x14:formula1>
          <x14:formula2>
            <xm:f>9.99999999999999E+37</xm:f>
          </x14:formula2>
          <xm:sqref>H40:J42</xm:sqref>
        </x14:dataValidation>
        <x14:dataValidation xr:uid="{00CF0021-0009-4580-9D8C-0031006400EF}" type="decimal" allowBlank="1" error="Допускается ввод только действительных чисел!" errorTitle="Ошибка" showErrorMessage="1">
          <x14:formula1>
            <xm:f>-9.99999999999999E+23</xm:f>
          </x14:formula1>
          <x14:formula2>
            <xm:f>9.99999999999999E+23</xm:f>
          </x14:formula2>
          <xm:sqref>H36:J37</xm:sqref>
        </x14:dataValidation>
        <x14:dataValidation xr:uid="{0056007E-0036-4556-9CB1-00FC005800EC}" type="textLength" allowBlank="1" error="Допускается ввод не более 900 символов!" errorTitle="Ошибка" operator="lessThanOrEqual" prompt="Введите ссылку на обосновывающие материалы, загруженные с помощью &quot;ЕИАС Web&quot;." showErrorMessage="1" showInputMessage="1">
          <x14:formula1>
            <xm:f>900</xm:f>
          </x14:formula1>
          <xm:sqref>H43:J43</xm:sqref>
        </x14:dataValidation>
        <x14:dataValidation xr:uid="{00EB0019-005D-41D2-9C70-003C00F4004D}" type="decimal" allowBlank="1" error="Допускается ввод только неотрицательных чисел!" errorTitle="Ошибка" showErrorMessage="1">
          <x14:formula1>
            <xm:f>0</xm:f>
          </x14:formula1>
          <x14:formula2>
            <xm:f>9.99999999999999E+23</xm:f>
          </x14:formula2>
          <xm:sqref>H38:J39 H2:J2 H15:J15 H17:J32 H35:J35 H44:J46</xm:sqref>
        </x14:dataValidation>
        <x14:dataValidation xr:uid="{00DA00C0-0054-44EB-A3E1-002100ED000C}" type="textLength" allowBlank="1" error="Допускается ввод не более 900 символов!" errorTitle="Ошибка" operator="lessThanOrEqual" prompt="Введите наименование прочих расходов" showErrorMessage="1" showInputMessage="1">
          <x14:formula1>
            <xm:f>900</xm:f>
          </x14:formula1>
          <xm:sqref>H33:J33</xm:sqref>
        </x14:dataValidation>
      </x14:dataValidations>
    </ext>
  </extLst>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9" tint="-0.25"/>
  </sheetPr>
  <sheetViews>
    <sheetView showGridLines="0" topLeftCell="A1" zoomScale="90" workbookViewId="0">
      <selection activeCell="J9" sqref="J9"/>
    </sheetView>
  </sheetViews>
  <sheetFormatPr defaultColWidth="9.140625" defaultRowHeight="11.25" customHeight="1"/>
  <cols>
    <col customWidth="1" hidden="1" min="1" max="1" style="987" width="10.7109375"/>
    <col customWidth="1" hidden="1" min="2" max="2" style="1366" width="16.8515625"/>
    <col customWidth="1" hidden="1" min="3" max="3" style="1642" width="5.57421875"/>
    <col customWidth="1" min="4" max="4" style="1635" width="3.00390625"/>
    <col customWidth="1" min="5" max="5" style="1635" width="7.00390625"/>
    <col customWidth="1" min="6" max="6" style="1635" width="54.00390625"/>
    <col customWidth="1" min="7" max="7" style="1635" width="10.00390625"/>
    <col customWidth="1" hidden="1" min="8" max="8" style="1635" width="40.7109375"/>
    <col customWidth="1" min="9" max="9" style="1635" width="40.00390625"/>
    <col customWidth="1" min="10" max="10" style="1635" width="40.7109375"/>
    <col customWidth="1" min="11" max="11" style="1635" width="102.00390625"/>
    <col customWidth="1" min="12" max="12" style="1366" width="9.00390625"/>
    <col customWidth="1" min="13" max="13" style="1642" width="5.00390625"/>
    <col customWidth="1" min="14" max="14" style="1642" width="3.00390625"/>
    <col customWidth="1" min="15" max="18" style="1366" width="3.00390625"/>
    <col customWidth="1" min="19" max="19" style="1642" width="10.00390625"/>
    <col customWidth="1" min="20" max="20" style="1366" width="34.00390625"/>
    <col customWidth="1" min="21" max="21" style="1366" width="9.00390625"/>
    <col customWidth="1" min="22" max="22" style="736" width="8.00390625"/>
    <col customWidth="1" min="23" max="27" style="1366" width="8.00390625"/>
    <col customWidth="1" min="28" max="32" style="1632" width="8.00390625"/>
    <col hidden="1" min="33" max="33" style="1635" width="9.140625"/>
  </cols>
  <sheetData>
    <row r="1" s="1366" customFormat="1" ht="22.5" hidden="1" customHeight="1">
      <c r="A1" s="987"/>
      <c r="C1" s="1636"/>
      <c r="D1" s="537"/>
      <c r="H1" s="1160">
        <v>4</v>
      </c>
      <c r="I1" s="1160">
        <v>4</v>
      </c>
      <c r="J1" s="1366">
        <v>4</v>
      </c>
      <c r="M1" s="1636"/>
      <c r="N1" s="1636"/>
      <c r="S1" s="1636"/>
      <c r="AG1" s="1160" t="s">
        <v>14</v>
      </c>
    </row>
    <row r="2" s="1366" customFormat="1" ht="22.5" hidden="1" customHeight="1">
      <c r="A2" s="987"/>
      <c r="C2" s="1636"/>
      <c r="D2" s="538"/>
      <c r="E2" s="1658"/>
      <c r="F2" s="540"/>
      <c r="G2" s="1657" t="s">
        <v>554</v>
      </c>
      <c r="H2" s="541"/>
      <c r="I2" s="541"/>
      <c r="J2" s="751"/>
      <c r="K2" s="542" t="s">
        <v>557</v>
      </c>
      <c r="L2" s="543"/>
      <c r="M2" s="1636"/>
      <c r="N2" s="1636"/>
      <c r="S2" s="1636"/>
      <c r="V2" s="544"/>
      <c r="AB2" s="1632"/>
      <c r="AC2" s="1632"/>
      <c r="AD2" s="1632"/>
      <c r="AE2" s="1632"/>
      <c r="AF2" s="1632"/>
      <c r="AG2" s="1160">
        <v>0</v>
      </c>
    </row>
    <row r="3" ht="11.25" hidden="1" customHeight="1">
      <c r="J3" s="1635"/>
      <c r="AG3" s="1631">
        <v>0</v>
      </c>
    </row>
    <row r="4" s="1632" customFormat="1" ht="11.25" hidden="1" customHeight="1">
      <c r="A4" s="987"/>
      <c r="B4" s="1160"/>
      <c r="C4" s="1636"/>
      <c r="D4" s="362"/>
      <c r="J4" s="1632"/>
      <c r="K4" s="1632">
        <v>4</v>
      </c>
      <c r="L4" s="1160"/>
      <c r="M4" s="1636"/>
      <c r="N4" s="1636"/>
      <c r="O4" s="1160"/>
      <c r="P4" s="1160"/>
      <c r="Q4" s="1160"/>
      <c r="R4" s="1160"/>
      <c r="S4" s="1636"/>
      <c r="T4" s="1160"/>
      <c r="U4" s="1160"/>
      <c r="V4" s="544"/>
      <c r="W4" s="1160"/>
      <c r="X4" s="1160"/>
      <c r="Y4" s="1160"/>
      <c r="Z4" s="1160"/>
      <c r="AA4" s="1160"/>
      <c r="AG4" s="1632">
        <v>0</v>
      </c>
    </row>
    <row r="5" ht="11.5" customHeight="1">
      <c r="J5" s="1635"/>
      <c r="AG5" s="1631">
        <v>11</v>
      </c>
    </row>
    <row r="6" ht="33.75" customHeight="1">
      <c r="E6" s="2248" t="s">
        <v>777</v>
      </c>
      <c r="F6" s="2248"/>
      <c r="G6" s="2248"/>
      <c r="H6" s="2248"/>
      <c r="I6" s="2248"/>
      <c r="J6" s="2248"/>
      <c r="K6" s="556"/>
      <c r="AG6" s="1631">
        <v>32</v>
      </c>
    </row>
    <row r="7" ht="25.199999999999999" customHeight="1">
      <c r="E7" s="2249" t="str">
        <f>IF(org=0,"Не определено",org)</f>
        <v xml:space="preserve">филиал ПАО "ОГК-2" - Рязанская ГРЭС</v>
      </c>
      <c r="F7" s="2249"/>
      <c r="G7" s="2249"/>
      <c r="H7" s="2249"/>
      <c r="I7" s="2249"/>
      <c r="J7" s="2249"/>
      <c r="AG7" s="1631">
        <v>24</v>
      </c>
    </row>
    <row r="8" ht="11.5" customHeight="1">
      <c r="E8" s="1135"/>
      <c r="F8" s="1135"/>
      <c r="G8" s="1135"/>
      <c r="H8" s="1135"/>
      <c r="I8" s="1135"/>
      <c r="J8" s="1136" t="s">
        <v>22</v>
      </c>
      <c r="AG8" s="1631">
        <v>11</v>
      </c>
    </row>
    <row r="9" s="1642" customFormat="1" ht="1.05" customHeight="1">
      <c r="A9" s="1167"/>
      <c r="D9" s="1642"/>
      <c r="H9" s="889"/>
      <c r="I9" s="889" t="s">
        <v>117</v>
      </c>
      <c r="J9" s="889" t="s">
        <v>123</v>
      </c>
      <c r="AG9" s="1636">
        <v>1</v>
      </c>
    </row>
    <row r="10" ht="11.5" customHeight="1">
      <c r="E10" s="711"/>
      <c r="F10" s="2367" t="s">
        <v>105</v>
      </c>
      <c r="G10" s="2368"/>
      <c r="H10" s="1659" t="str">
        <f>IF(H9="","",INDEX(DIFFERENTIATION_UNMERGE_VD,MATCH(H9,DIFFERENTIATION_ID_DIFF,0)))</f>
        <v/>
      </c>
      <c r="I10" s="1659" t="str">
        <f>IF(I9="","",INDEX(DIFFERENTIATION_UNMERGE_VD,MATCH(I9,DIFFERENTIATION_ID_DIFF,0)))</f>
        <v>Водоотведение</v>
      </c>
      <c r="J10" s="2393" t="str">
        <f>IF(J9="","",INDEX(DIFFERENTIATION_UNMERGE_VD,MATCH(J9,DIFFERENTIATION_ID_DIFF,0)))</f>
        <v>Транспортировка</v>
      </c>
      <c r="K10" s="2127"/>
      <c r="AG10" s="1631">
        <v>11</v>
      </c>
    </row>
    <row r="11" ht="11.5" customHeight="1">
      <c r="E11" s="711"/>
      <c r="F11" s="2367" t="s">
        <v>566</v>
      </c>
      <c r="G11" s="2368"/>
      <c r="H11" s="1659" t="str">
        <f>IF(H9="","",INDEX(DIFFERENTIATION_UNMERGE_AREA,MATCH(H9,DIFFERENTIATION_ID_DIFF,0)))</f>
        <v/>
      </c>
      <c r="I11" s="1659" t="str">
        <f>IF(I9="","",INDEX(DIFFERENTIATION_UNMERGE_AREA,MATCH(I9,DIFFERENTIATION_ID_DIFF,0)))</f>
        <v xml:space="preserve">без дифференциации</v>
      </c>
      <c r="J11" s="2393" t="str">
        <f>IF(J9="","",INDEX(DIFFERENTIATION_UNMERGE_AREA,MATCH(J9,DIFFERENTIATION_ID_DIFF,0)))</f>
        <v xml:space="preserve">без дифференциации</v>
      </c>
      <c r="K11" s="2127"/>
      <c r="AG11" s="1631">
        <v>11</v>
      </c>
    </row>
    <row r="12" ht="11.25" hidden="1" customHeight="1">
      <c r="E12" s="1662"/>
      <c r="F12" s="2390" t="s">
        <v>567</v>
      </c>
      <c r="G12" s="2391"/>
      <c r="H12" s="1663" t="str">
        <f>IF(H9="","",INDEX(DIFFERENTIATION_UNMERGE_SYSTEM,MATCH(H9,DIFFERENTIATION_ID_DIFF,0)))</f>
        <v/>
      </c>
      <c r="I12" s="1663" t="str">
        <f>IF(I9="","",INDEX(DIFFERENTIATION_UNMERGE_SYSTEM,MATCH(I9,DIFFERENTIATION_ID_DIFF,0)))</f>
        <v xml:space="preserve">без дифференциации</v>
      </c>
      <c r="J12" s="1663" t="str">
        <f>IF(J9="","",INDEX(DIFFERENTIATION_UNMERGE_SYSTEM,MATCH(J9,DIFFERENTIATION_ID_DIFF,0)))</f>
        <v xml:space="preserve">без дифференциации</v>
      </c>
      <c r="K12" s="2127"/>
      <c r="AG12" s="1631">
        <v>0</v>
      </c>
    </row>
    <row r="13" ht="11.5" customHeight="1">
      <c r="E13" s="2369" t="s">
        <v>302</v>
      </c>
      <c r="F13" s="2370"/>
      <c r="G13" s="2370"/>
      <c r="H13" s="1656"/>
      <c r="I13" s="1656"/>
      <c r="J13" s="2367"/>
      <c r="K13" s="2127"/>
      <c r="AG13" s="1631">
        <v>11</v>
      </c>
    </row>
    <row r="14" ht="24" customHeight="1">
      <c r="E14" s="1657" t="s">
        <v>87</v>
      </c>
      <c r="F14" s="1660" t="s">
        <v>304</v>
      </c>
      <c r="G14" s="1660" t="s">
        <v>568</v>
      </c>
      <c r="H14" s="1660" t="s">
        <v>305</v>
      </c>
      <c r="I14" s="1660" t="s">
        <v>305</v>
      </c>
      <c r="J14" s="2312" t="s">
        <v>305</v>
      </c>
      <c r="K14" s="2127"/>
      <c r="AG14" s="1631">
        <v>23</v>
      </c>
    </row>
    <row r="15" ht="19.949999999999999" customHeight="1">
      <c r="D15" s="1638"/>
      <c r="E15" s="1630" t="s">
        <v>109</v>
      </c>
      <c r="F15" s="707" t="s">
        <v>778</v>
      </c>
      <c r="G15" s="1657" t="s">
        <v>554</v>
      </c>
      <c r="H15" s="557"/>
      <c r="I15" s="557"/>
      <c r="J15" s="557"/>
      <c r="K15" s="289" t="s">
        <v>779</v>
      </c>
      <c r="L15" s="543" t="s">
        <v>633</v>
      </c>
      <c r="AG15" s="1631">
        <v>19</v>
      </c>
    </row>
    <row r="16" ht="24" customHeight="1">
      <c r="D16" s="1638"/>
      <c r="E16" s="1630" t="s">
        <v>110</v>
      </c>
      <c r="F16" s="1665" t="s">
        <v>780</v>
      </c>
      <c r="G16" s="1657" t="s">
        <v>554</v>
      </c>
      <c r="H16" s="558">
        <f>SUM(H17,H20:H27)</f>
        <v>0</v>
      </c>
      <c r="I16" s="558">
        <f>SUM(I17,I20:I27)</f>
        <v>0</v>
      </c>
      <c r="J16" s="558">
        <f>SUM(J17,J20:J27)</f>
        <v>0</v>
      </c>
      <c r="K16" s="289" t="s">
        <v>781</v>
      </c>
      <c r="L16" s="543" t="s">
        <v>633</v>
      </c>
      <c r="AG16" s="1631">
        <v>23</v>
      </c>
    </row>
    <row r="17" ht="35.649999999999999" customHeight="1">
      <c r="D17" s="1638"/>
      <c r="E17" s="1664" t="s">
        <v>711</v>
      </c>
      <c r="F17" s="1667" t="s">
        <v>782</v>
      </c>
      <c r="G17" s="1654" t="s">
        <v>554</v>
      </c>
      <c r="H17" s="557"/>
      <c r="I17" s="557"/>
      <c r="J17" s="557"/>
      <c r="K17" s="289" t="s">
        <v>783</v>
      </c>
      <c r="L17" s="543"/>
      <c r="AG17" s="1631">
        <v>34</v>
      </c>
    </row>
    <row r="18" ht="19.949999999999999" customHeight="1">
      <c r="D18" s="1638"/>
      <c r="E18" s="1664" t="s">
        <v>714</v>
      </c>
      <c r="F18" s="1668" t="s">
        <v>784</v>
      </c>
      <c r="G18" s="1654" t="s">
        <v>554</v>
      </c>
      <c r="H18" s="557"/>
      <c r="I18" s="557"/>
      <c r="J18" s="557"/>
      <c r="K18" s="289"/>
      <c r="L18" s="543"/>
      <c r="AG18" s="1631">
        <v>19</v>
      </c>
    </row>
    <row r="19" ht="24" customHeight="1">
      <c r="D19" s="1638"/>
      <c r="E19" s="1664" t="s">
        <v>717</v>
      </c>
      <c r="F19" s="1668" t="s">
        <v>785</v>
      </c>
      <c r="G19" s="1654" t="s">
        <v>554</v>
      </c>
      <c r="H19" s="557"/>
      <c r="I19" s="557"/>
      <c r="J19" s="557"/>
      <c r="K19" s="289"/>
      <c r="L19" s="543"/>
      <c r="AG19" s="1631">
        <v>23</v>
      </c>
    </row>
    <row r="20" ht="35.649999999999999" customHeight="1">
      <c r="D20" s="1638"/>
      <c r="E20" s="1664" t="s">
        <v>309</v>
      </c>
      <c r="F20" s="1667" t="s">
        <v>786</v>
      </c>
      <c r="G20" s="1654" t="s">
        <v>554</v>
      </c>
      <c r="H20" s="557"/>
      <c r="I20" s="557"/>
      <c r="J20" s="557"/>
      <c r="K20" s="289"/>
      <c r="L20" s="543"/>
      <c r="AG20" s="1631">
        <v>34</v>
      </c>
    </row>
    <row r="21" ht="48.25" customHeight="1">
      <c r="D21" s="1638"/>
      <c r="E21" s="1664" t="s">
        <v>312</v>
      </c>
      <c r="F21" s="1667" t="s">
        <v>787</v>
      </c>
      <c r="G21" s="1654" t="s">
        <v>554</v>
      </c>
      <c r="H21" s="557"/>
      <c r="I21" s="557"/>
      <c r="J21" s="557"/>
      <c r="K21" s="289"/>
      <c r="L21" s="543"/>
      <c r="AG21" s="1631">
        <v>46</v>
      </c>
    </row>
    <row r="22" ht="60" customHeight="1">
      <c r="D22" s="1638"/>
      <c r="E22" s="1664" t="s">
        <v>731</v>
      </c>
      <c r="F22" s="1667" t="s">
        <v>788</v>
      </c>
      <c r="G22" s="1654" t="s">
        <v>554</v>
      </c>
      <c r="H22" s="557"/>
      <c r="I22" s="557"/>
      <c r="J22" s="557"/>
      <c r="K22" s="289"/>
      <c r="L22" s="543"/>
      <c r="AG22" s="1631">
        <v>57</v>
      </c>
    </row>
    <row r="23" ht="35.649999999999999" customHeight="1">
      <c r="D23" s="1638"/>
      <c r="E23" s="1664" t="s">
        <v>738</v>
      </c>
      <c r="F23" s="1667" t="s">
        <v>789</v>
      </c>
      <c r="G23" s="1654" t="s">
        <v>554</v>
      </c>
      <c r="H23" s="557"/>
      <c r="I23" s="557"/>
      <c r="J23" s="557"/>
      <c r="K23" s="289"/>
      <c r="L23" s="543"/>
      <c r="AG23" s="1631">
        <v>34</v>
      </c>
    </row>
    <row r="24" ht="35.649999999999999" customHeight="1">
      <c r="D24" s="1638"/>
      <c r="E24" s="1664" t="s">
        <v>740</v>
      </c>
      <c r="F24" s="1667" t="s">
        <v>790</v>
      </c>
      <c r="G24" s="1654" t="s">
        <v>554</v>
      </c>
      <c r="H24" s="557"/>
      <c r="I24" s="557"/>
      <c r="J24" s="557"/>
      <c r="K24" s="289"/>
      <c r="L24" s="543"/>
      <c r="AG24" s="1631">
        <v>34</v>
      </c>
    </row>
    <row r="25" ht="24" customHeight="1">
      <c r="D25" s="1638"/>
      <c r="E25" s="1664" t="s">
        <v>742</v>
      </c>
      <c r="F25" s="1667" t="s">
        <v>791</v>
      </c>
      <c r="G25" s="1654" t="s">
        <v>554</v>
      </c>
      <c r="H25" s="557"/>
      <c r="I25" s="557"/>
      <c r="J25" s="557"/>
      <c r="K25" s="289"/>
      <c r="L25" s="543"/>
      <c r="AG25" s="1631">
        <v>23</v>
      </c>
    </row>
    <row r="26" ht="76.5" customHeight="1">
      <c r="D26" s="1638"/>
      <c r="E26" s="1664" t="s">
        <v>744</v>
      </c>
      <c r="F26" s="1667" t="s">
        <v>792</v>
      </c>
      <c r="G26" s="1654" t="s">
        <v>554</v>
      </c>
      <c r="H26" s="557"/>
      <c r="I26" s="557"/>
      <c r="J26" s="557"/>
      <c r="K26" s="289"/>
      <c r="L26" s="543"/>
      <c r="AG26" s="1631">
        <v>73</v>
      </c>
    </row>
    <row r="27" s="1366" customFormat="1" ht="35.649999999999999" customHeight="1">
      <c r="A27" s="987"/>
      <c r="C27" s="1636"/>
      <c r="D27" s="1638"/>
      <c r="E27" s="1629" t="s">
        <v>748</v>
      </c>
      <c r="F27" s="1628" t="s">
        <v>793</v>
      </c>
      <c r="G27" s="1655" t="s">
        <v>554</v>
      </c>
      <c r="H27" s="579">
        <f>SUM(H28:H29)</f>
        <v>0</v>
      </c>
      <c r="I27" s="579">
        <f>SUM(I28:I29)</f>
        <v>0</v>
      </c>
      <c r="J27" s="579">
        <f>SUM(J28:J29)</f>
        <v>0</v>
      </c>
      <c r="K27" s="289" t="s">
        <v>746</v>
      </c>
      <c r="L27" s="543"/>
      <c r="M27" s="1636"/>
      <c r="N27" s="1636"/>
      <c r="S27" s="1636"/>
      <c r="V27" s="544"/>
      <c r="AB27" s="1632"/>
      <c r="AC27" s="1632"/>
      <c r="AD27" s="1632"/>
      <c r="AE27" s="1632"/>
      <c r="AF27" s="1632"/>
      <c r="AG27" s="1160">
        <v>34</v>
      </c>
    </row>
    <row r="28" s="1642" customFormat="1" ht="1.05" customHeight="1">
      <c r="A28" s="1167"/>
      <c r="D28" s="548"/>
      <c r="E28" s="802" t="str">
        <f>E27&amp;".0"</f>
        <v>2.9.0</v>
      </c>
      <c r="F28" s="991"/>
      <c r="G28" s="551"/>
      <c r="H28" s="992"/>
      <c r="I28" s="992"/>
      <c r="J28" s="992"/>
      <c r="K28" s="993"/>
      <c r="AG28" s="1636">
        <v>1</v>
      </c>
    </row>
    <row r="29" s="1366" customFormat="1" ht="19.949999999999999" customHeight="1">
      <c r="A29" s="987"/>
      <c r="C29" s="1636"/>
      <c r="D29" s="1633"/>
      <c r="E29" s="570"/>
      <c r="F29" s="1666" t="s">
        <v>579</v>
      </c>
      <c r="G29" s="572"/>
      <c r="H29" s="573"/>
      <c r="I29" s="573"/>
      <c r="J29" s="2636"/>
      <c r="K29" s="301" t="s">
        <v>747</v>
      </c>
      <c r="L29" s="543"/>
      <c r="M29" s="1636"/>
      <c r="N29" s="1636"/>
      <c r="S29" s="1636"/>
      <c r="V29" s="544"/>
      <c r="AB29" s="1632"/>
      <c r="AC29" s="1632"/>
      <c r="AD29" s="1632"/>
      <c r="AE29" s="1632"/>
      <c r="AF29" s="1632"/>
      <c r="AG29" s="1160">
        <v>19</v>
      </c>
    </row>
    <row r="30" s="1366" customFormat="1" ht="24" customHeight="1">
      <c r="A30" s="987"/>
      <c r="C30" s="1636"/>
      <c r="D30" s="1638"/>
      <c r="E30" s="1664" t="s">
        <v>89</v>
      </c>
      <c r="F30" s="1661" t="s">
        <v>794</v>
      </c>
      <c r="G30" s="1654" t="s">
        <v>554</v>
      </c>
      <c r="H30" s="557"/>
      <c r="I30" s="557"/>
      <c r="J30" s="557"/>
      <c r="K30" s="289"/>
      <c r="L30" s="543"/>
      <c r="M30" s="1636"/>
      <c r="N30" s="1636"/>
      <c r="S30" s="1636"/>
      <c r="V30" s="544"/>
      <c r="AB30" s="1632"/>
      <c r="AC30" s="1632"/>
      <c r="AD30" s="1632"/>
      <c r="AE30" s="1632"/>
      <c r="AF30" s="1632"/>
      <c r="AG30" s="1160">
        <v>23</v>
      </c>
    </row>
    <row r="31" s="1366" customFormat="1" ht="35.649999999999999" customHeight="1">
      <c r="A31" s="987"/>
      <c r="C31" s="1636"/>
      <c r="D31" s="575"/>
      <c r="E31" s="1664" t="s">
        <v>90</v>
      </c>
      <c r="F31" s="1661" t="s">
        <v>795</v>
      </c>
      <c r="G31" s="1654" t="s">
        <v>554</v>
      </c>
      <c r="H31" s="557"/>
      <c r="I31" s="557"/>
      <c r="J31" s="557"/>
      <c r="K31" s="289" t="s">
        <v>796</v>
      </c>
      <c r="L31" s="543"/>
      <c r="M31" s="1636"/>
      <c r="N31" s="1636"/>
      <c r="S31" s="1636"/>
      <c r="V31" s="544"/>
      <c r="AB31" s="1632"/>
      <c r="AC31" s="1632"/>
      <c r="AD31" s="1632"/>
      <c r="AE31" s="1632"/>
      <c r="AF31" s="1632"/>
      <c r="AG31" s="1160">
        <v>34</v>
      </c>
    </row>
    <row r="32" s="1366" customFormat="1" ht="24" customHeight="1">
      <c r="A32" s="987"/>
      <c r="C32" s="1636"/>
      <c r="D32" s="1638"/>
      <c r="E32" s="1664" t="s">
        <v>756</v>
      </c>
      <c r="F32" s="690" t="s">
        <v>760</v>
      </c>
      <c r="G32" s="1654" t="s">
        <v>554</v>
      </c>
      <c r="H32" s="557"/>
      <c r="I32" s="557"/>
      <c r="J32" s="557"/>
      <c r="K32" s="289" t="s">
        <v>797</v>
      </c>
      <c r="L32" s="543"/>
      <c r="M32" s="1636"/>
      <c r="N32" s="1636"/>
      <c r="S32" s="1636"/>
      <c r="V32" s="544"/>
      <c r="AB32" s="1632"/>
      <c r="AC32" s="1632"/>
      <c r="AD32" s="1632"/>
      <c r="AE32" s="1632"/>
      <c r="AF32" s="1632"/>
      <c r="AG32" s="1160">
        <v>23</v>
      </c>
    </row>
    <row r="33" s="1366" customFormat="1" ht="24" customHeight="1">
      <c r="A33" s="987"/>
      <c r="C33" s="1636"/>
      <c r="D33" s="1638"/>
      <c r="E33" s="1664" t="s">
        <v>798</v>
      </c>
      <c r="F33" s="690" t="s">
        <v>799</v>
      </c>
      <c r="G33" s="1654" t="s">
        <v>554</v>
      </c>
      <c r="H33" s="557"/>
      <c r="I33" s="557"/>
      <c r="J33" s="557"/>
      <c r="K33" s="289" t="s">
        <v>800</v>
      </c>
      <c r="L33" s="543"/>
      <c r="M33" s="1636"/>
      <c r="N33" s="1636"/>
      <c r="S33" s="1636"/>
      <c r="V33" s="544"/>
      <c r="AB33" s="1632"/>
      <c r="AC33" s="1632"/>
      <c r="AD33" s="1632"/>
      <c r="AE33" s="1632"/>
      <c r="AF33" s="1632"/>
      <c r="AG33" s="1160">
        <v>23</v>
      </c>
    </row>
    <row r="34" s="1366" customFormat="1" ht="24" customHeight="1">
      <c r="A34" s="987"/>
      <c r="C34" s="1636"/>
      <c r="D34" s="1638"/>
      <c r="E34" s="1664" t="s">
        <v>801</v>
      </c>
      <c r="F34" s="690" t="s">
        <v>766</v>
      </c>
      <c r="G34" s="1654" t="s">
        <v>554</v>
      </c>
      <c r="H34" s="557"/>
      <c r="I34" s="557"/>
      <c r="J34" s="557"/>
      <c r="K34" s="289" t="s">
        <v>802</v>
      </c>
      <c r="L34" s="543"/>
      <c r="M34" s="1636"/>
      <c r="N34" s="1636"/>
      <c r="S34" s="1636"/>
      <c r="V34" s="544"/>
      <c r="AB34" s="1632"/>
      <c r="AC34" s="1632"/>
      <c r="AD34" s="1632"/>
      <c r="AE34" s="1632"/>
      <c r="AF34" s="1632"/>
      <c r="AG34" s="1160">
        <v>23</v>
      </c>
    </row>
    <row r="35" s="1366" customFormat="1" ht="35.649999999999999" customHeight="1">
      <c r="A35" s="987"/>
      <c r="C35" s="1636" t="s">
        <v>590</v>
      </c>
      <c r="D35" s="1638"/>
      <c r="E35" s="1664" t="s">
        <v>111</v>
      </c>
      <c r="F35" s="1661" t="s">
        <v>632</v>
      </c>
      <c r="G35" s="1657" t="s">
        <v>308</v>
      </c>
      <c r="H35" s="401"/>
      <c r="I35" s="401"/>
      <c r="J35" s="818"/>
      <c r="K35" s="289" t="s">
        <v>803</v>
      </c>
      <c r="L35" s="543"/>
      <c r="M35" s="1636"/>
      <c r="N35" s="1636"/>
      <c r="S35" s="1636"/>
      <c r="V35" s="544"/>
      <c r="AB35" s="1632"/>
      <c r="AC35" s="1632"/>
      <c r="AD35" s="1632"/>
      <c r="AE35" s="1632"/>
      <c r="AF35" s="1632"/>
      <c r="AG35" s="1160">
        <v>34</v>
      </c>
    </row>
    <row r="36" s="1366" customFormat="1" ht="35.649999999999999" customHeight="1">
      <c r="A36" s="987"/>
      <c r="C36" s="1636"/>
      <c r="D36" s="1638"/>
      <c r="E36" s="1664" t="s">
        <v>91</v>
      </c>
      <c r="F36" s="1661" t="s">
        <v>804</v>
      </c>
      <c r="G36" s="1654" t="s">
        <v>771</v>
      </c>
      <c r="H36" s="545"/>
      <c r="I36" s="545"/>
      <c r="J36" s="545"/>
      <c r="K36" s="289" t="s">
        <v>772</v>
      </c>
      <c r="L36" s="543"/>
      <c r="M36" s="1636"/>
      <c r="N36" s="1636"/>
      <c r="S36" s="1636"/>
      <c r="V36" s="544"/>
      <c r="AB36" s="1632"/>
      <c r="AC36" s="1632"/>
      <c r="AD36" s="1632"/>
      <c r="AE36" s="1632"/>
      <c r="AF36" s="1632"/>
      <c r="AG36" s="1160">
        <v>34</v>
      </c>
    </row>
    <row r="37" s="1366" customFormat="1" ht="24" customHeight="1">
      <c r="A37" s="987"/>
      <c r="C37" s="1636"/>
      <c r="D37" s="1638"/>
      <c r="E37" s="1664" t="s">
        <v>92</v>
      </c>
      <c r="F37" s="1661" t="s">
        <v>805</v>
      </c>
      <c r="G37" s="1654" t="s">
        <v>774</v>
      </c>
      <c r="H37" s="545"/>
      <c r="I37" s="545"/>
      <c r="J37" s="545"/>
      <c r="K37" s="289" t="s">
        <v>775</v>
      </c>
      <c r="L37" s="543"/>
      <c r="M37" s="1636"/>
      <c r="N37" s="1636"/>
      <c r="S37" s="1636"/>
      <c r="V37" s="544"/>
      <c r="AB37" s="1632"/>
      <c r="AC37" s="1632"/>
      <c r="AD37" s="1632"/>
      <c r="AE37" s="1632"/>
      <c r="AF37" s="1632"/>
      <c r="AG37" s="1160">
        <v>23</v>
      </c>
    </row>
    <row r="38" ht="11.5" customHeight="1">
      <c r="D38" s="1638"/>
      <c r="J38" s="1635"/>
      <c r="AG38" s="1631">
        <v>11</v>
      </c>
    </row>
    <row r="39" ht="27.300000000000001" customHeight="1">
      <c r="D39" s="1638"/>
      <c r="E39" s="1253" t="s">
        <v>806</v>
      </c>
      <c r="F39" s="2285" t="s">
        <v>807</v>
      </c>
      <c r="G39" s="2285"/>
      <c r="H39" s="369"/>
      <c r="I39" s="369"/>
      <c r="J39" s="1687"/>
      <c r="K39" s="369"/>
      <c r="AG39" s="1631">
        <v>26</v>
      </c>
    </row>
    <row r="40" s="1641" customFormat="1" ht="39.75" customHeight="1">
      <c r="A40" s="987"/>
      <c r="B40" s="1636"/>
      <c r="C40" s="1636"/>
      <c r="D40" s="351"/>
      <c r="F40" s="2285" t="s">
        <v>808</v>
      </c>
      <c r="G40" s="2285"/>
      <c r="H40" s="369"/>
      <c r="I40" s="369"/>
      <c r="J40" s="1687"/>
      <c r="K40" s="369"/>
      <c r="L40" s="1160"/>
      <c r="M40" s="1636"/>
      <c r="N40" s="1636"/>
      <c r="O40" s="1160"/>
      <c r="P40" s="1160"/>
      <c r="Q40" s="1160"/>
      <c r="R40" s="1160"/>
      <c r="S40" s="1636"/>
      <c r="T40" s="1160"/>
      <c r="U40" s="1160"/>
      <c r="V40" s="544"/>
      <c r="W40" s="1160"/>
      <c r="X40" s="1160"/>
      <c r="Y40" s="1160"/>
      <c r="Z40" s="1160"/>
      <c r="AA40" s="1160"/>
      <c r="AB40" s="1632"/>
      <c r="AC40" s="566"/>
      <c r="AD40" s="566"/>
      <c r="AE40" s="566"/>
      <c r="AF40" s="566"/>
      <c r="AG40" s="1641">
        <v>38</v>
      </c>
    </row>
    <row r="41" s="1641" customFormat="1" ht="11.5" customHeight="1">
      <c r="A41" s="987"/>
      <c r="B41" s="1636"/>
      <c r="C41" s="1636"/>
      <c r="D41" s="351"/>
      <c r="J41" s="1641"/>
      <c r="L41" s="1160"/>
      <c r="M41" s="1636"/>
      <c r="N41" s="1636"/>
      <c r="O41" s="1160"/>
      <c r="P41" s="1160"/>
      <c r="Q41" s="1160"/>
      <c r="R41" s="1160"/>
      <c r="S41" s="1636"/>
      <c r="T41" s="1160"/>
      <c r="U41" s="1160"/>
      <c r="V41" s="544"/>
      <c r="W41" s="1160"/>
      <c r="X41" s="1160"/>
      <c r="Y41" s="1160"/>
      <c r="Z41" s="1160"/>
      <c r="AA41" s="1160"/>
      <c r="AB41" s="1632"/>
      <c r="AC41" s="566"/>
      <c r="AD41" s="566"/>
      <c r="AE41" s="566"/>
      <c r="AF41" s="566"/>
      <c r="AG41" s="1641">
        <v>11</v>
      </c>
    </row>
    <row r="42" s="1641" customFormat="1" ht="11.5" customHeight="1">
      <c r="A42" s="987"/>
      <c r="B42" s="1636"/>
      <c r="C42" s="1636"/>
      <c r="D42" s="351"/>
      <c r="J42" s="1641"/>
      <c r="L42" s="1160"/>
      <c r="M42" s="1636"/>
      <c r="N42" s="1636"/>
      <c r="O42" s="1160"/>
      <c r="P42" s="1160"/>
      <c r="Q42" s="1160"/>
      <c r="R42" s="1160"/>
      <c r="S42" s="1636"/>
      <c r="T42" s="1160"/>
      <c r="U42" s="1160"/>
      <c r="V42" s="544"/>
      <c r="W42" s="1160"/>
      <c r="X42" s="1160"/>
      <c r="Y42" s="1160"/>
      <c r="Z42" s="1160"/>
      <c r="AA42" s="1160"/>
      <c r="AB42" s="1632"/>
      <c r="AC42" s="566"/>
      <c r="AD42" s="566"/>
      <c r="AE42" s="566"/>
      <c r="AF42" s="566"/>
      <c r="AG42" s="1641">
        <v>11</v>
      </c>
    </row>
    <row r="43" s="1641" customFormat="1" ht="11.5" customHeight="1">
      <c r="A43" s="987"/>
      <c r="B43" s="1636"/>
      <c r="C43" s="1636"/>
      <c r="D43" s="351"/>
      <c r="H43" s="566"/>
      <c r="I43" s="566"/>
      <c r="J43" s="622"/>
      <c r="L43" s="1160"/>
      <c r="M43" s="1636"/>
      <c r="N43" s="1636"/>
      <c r="O43" s="1160"/>
      <c r="P43" s="1160"/>
      <c r="Q43" s="1160"/>
      <c r="R43" s="1160"/>
      <c r="S43" s="1636"/>
      <c r="T43" s="1160"/>
      <c r="U43" s="1160"/>
      <c r="V43" s="544"/>
      <c r="W43" s="1160"/>
      <c r="X43" s="1160"/>
      <c r="Y43" s="1160"/>
      <c r="Z43" s="1160"/>
      <c r="AA43" s="1160"/>
      <c r="AB43" s="1632"/>
      <c r="AC43" s="566"/>
      <c r="AD43" s="566"/>
      <c r="AE43" s="566"/>
      <c r="AF43" s="566"/>
      <c r="AG43" s="1641">
        <v>11</v>
      </c>
    </row>
    <row r="44" s="1641" customFormat="1" ht="11.5" customHeight="1">
      <c r="A44" s="987"/>
      <c r="B44" s="1636"/>
      <c r="C44" s="1636"/>
      <c r="D44" s="351"/>
      <c r="J44" s="1641"/>
      <c r="L44" s="1160"/>
      <c r="M44" s="1636"/>
      <c r="N44" s="1636"/>
      <c r="O44" s="1160"/>
      <c r="P44" s="1160"/>
      <c r="Q44" s="1160"/>
      <c r="R44" s="1160"/>
      <c r="S44" s="1636"/>
      <c r="T44" s="1160"/>
      <c r="U44" s="1160"/>
      <c r="V44" s="544"/>
      <c r="W44" s="1160"/>
      <c r="X44" s="1160"/>
      <c r="Y44" s="1160"/>
      <c r="Z44" s="1160"/>
      <c r="AA44" s="1160"/>
      <c r="AB44" s="1632"/>
      <c r="AC44" s="566"/>
      <c r="AD44" s="566"/>
      <c r="AE44" s="566"/>
      <c r="AF44" s="566"/>
      <c r="AG44" s="1641">
        <v>11</v>
      </c>
    </row>
    <row r="45" s="1641" customFormat="1" ht="11.5" customHeight="1">
      <c r="A45" s="987"/>
      <c r="B45" s="1636"/>
      <c r="C45" s="1636"/>
      <c r="D45" s="351"/>
      <c r="J45" s="1641"/>
      <c r="L45" s="1160"/>
      <c r="M45" s="1636"/>
      <c r="N45" s="1636"/>
      <c r="O45" s="1160"/>
      <c r="P45" s="1160"/>
      <c r="Q45" s="1160"/>
      <c r="R45" s="1160"/>
      <c r="S45" s="1636"/>
      <c r="T45" s="1160"/>
      <c r="U45" s="1160"/>
      <c r="V45" s="544"/>
      <c r="W45" s="1160"/>
      <c r="X45" s="1160"/>
      <c r="Y45" s="1160"/>
      <c r="Z45" s="1160"/>
      <c r="AA45" s="1160"/>
      <c r="AB45" s="1632"/>
      <c r="AC45" s="566"/>
      <c r="AD45" s="566"/>
      <c r="AE45" s="566"/>
      <c r="AF45" s="566"/>
      <c r="AG45" s="1641">
        <v>11</v>
      </c>
    </row>
    <row r="46" s="1641" customFormat="1" ht="11.5" customHeight="1">
      <c r="A46" s="987"/>
      <c r="B46" s="1636"/>
      <c r="C46" s="1636"/>
      <c r="D46" s="351"/>
      <c r="J46" s="1641"/>
      <c r="L46" s="1160"/>
      <c r="M46" s="1636"/>
      <c r="N46" s="1636"/>
      <c r="O46" s="1160"/>
      <c r="P46" s="1160"/>
      <c r="Q46" s="1160"/>
      <c r="R46" s="1160"/>
      <c r="S46" s="1636"/>
      <c r="T46" s="1160"/>
      <c r="U46" s="1160"/>
      <c r="V46" s="544"/>
      <c r="W46" s="1160"/>
      <c r="X46" s="1160"/>
      <c r="Y46" s="1160"/>
      <c r="Z46" s="1160"/>
      <c r="AA46" s="1160"/>
      <c r="AB46" s="1632"/>
      <c r="AC46" s="566"/>
      <c r="AD46" s="566"/>
      <c r="AE46" s="566"/>
      <c r="AF46" s="566"/>
      <c r="AG46" s="1641">
        <v>11</v>
      </c>
    </row>
    <row r="47" s="1641" customFormat="1" ht="11.5" customHeight="1">
      <c r="A47" s="987"/>
      <c r="B47" s="1636"/>
      <c r="C47" s="1636"/>
      <c r="D47" s="351"/>
      <c r="J47" s="1641"/>
      <c r="L47" s="1160"/>
      <c r="M47" s="1636"/>
      <c r="N47" s="1636"/>
      <c r="O47" s="1160"/>
      <c r="P47" s="1160"/>
      <c r="Q47" s="1160"/>
      <c r="R47" s="1160"/>
      <c r="S47" s="1636"/>
      <c r="T47" s="1160"/>
      <c r="U47" s="1160"/>
      <c r="V47" s="544"/>
      <c r="W47" s="1160"/>
      <c r="X47" s="1160"/>
      <c r="Y47" s="1160"/>
      <c r="Z47" s="1160"/>
      <c r="AA47" s="1160"/>
      <c r="AB47" s="1632"/>
      <c r="AC47" s="566"/>
      <c r="AD47" s="566"/>
      <c r="AE47" s="566"/>
      <c r="AF47" s="566"/>
      <c r="AG47" s="1641">
        <v>11</v>
      </c>
    </row>
    <row r="48" s="1641" customFormat="1" ht="11.5" customHeight="1">
      <c r="A48" s="987"/>
      <c r="B48" s="1636"/>
      <c r="C48" s="1636"/>
      <c r="D48" s="351"/>
      <c r="J48" s="1641"/>
      <c r="L48" s="1160"/>
      <c r="M48" s="1636"/>
      <c r="N48" s="1636"/>
      <c r="O48" s="1160"/>
      <c r="P48" s="1160"/>
      <c r="Q48" s="1160"/>
      <c r="R48" s="1160"/>
      <c r="S48" s="1636"/>
      <c r="T48" s="1160"/>
      <c r="U48" s="1160"/>
      <c r="V48" s="544"/>
      <c r="W48" s="1160"/>
      <c r="X48" s="1160"/>
      <c r="Y48" s="1160"/>
      <c r="Z48" s="1160"/>
      <c r="AA48" s="1160"/>
      <c r="AB48" s="1632"/>
      <c r="AC48" s="566"/>
      <c r="AD48" s="566"/>
      <c r="AE48" s="566"/>
      <c r="AF48" s="566"/>
      <c r="AG48" s="1641">
        <v>11</v>
      </c>
    </row>
    <row r="49" s="1641" customFormat="1" ht="11.5" customHeight="1">
      <c r="A49" s="987"/>
      <c r="B49" s="1636"/>
      <c r="C49" s="1636"/>
      <c r="D49" s="351"/>
      <c r="J49" s="1641"/>
      <c r="L49" s="1160"/>
      <c r="M49" s="1636"/>
      <c r="N49" s="1636"/>
      <c r="O49" s="1160"/>
      <c r="P49" s="1160"/>
      <c r="Q49" s="1160"/>
      <c r="R49" s="1160"/>
      <c r="S49" s="1636"/>
      <c r="T49" s="1160"/>
      <c r="U49" s="1160"/>
      <c r="V49" s="544"/>
      <c r="W49" s="1160"/>
      <c r="X49" s="1160"/>
      <c r="Y49" s="1160"/>
      <c r="Z49" s="1160"/>
      <c r="AA49" s="1160"/>
      <c r="AB49" s="1632"/>
      <c r="AC49" s="566"/>
      <c r="AD49" s="566"/>
      <c r="AE49" s="566"/>
      <c r="AF49" s="566"/>
      <c r="AG49" s="1641">
        <v>11</v>
      </c>
    </row>
    <row r="50" s="1641" customFormat="1" ht="11.5" customHeight="1">
      <c r="A50" s="987"/>
      <c r="B50" s="1636"/>
      <c r="C50" s="1636"/>
      <c r="D50" s="351"/>
      <c r="J50" s="1641"/>
      <c r="L50" s="1160"/>
      <c r="M50" s="1636"/>
      <c r="N50" s="1636"/>
      <c r="O50" s="1160"/>
      <c r="P50" s="1160"/>
      <c r="Q50" s="1160"/>
      <c r="R50" s="1160"/>
      <c r="S50" s="1636"/>
      <c r="T50" s="1160"/>
      <c r="U50" s="1160"/>
      <c r="V50" s="544"/>
      <c r="W50" s="1160"/>
      <c r="X50" s="1160"/>
      <c r="Y50" s="1160"/>
      <c r="Z50" s="1160"/>
      <c r="AA50" s="1160"/>
      <c r="AB50" s="1632"/>
      <c r="AC50" s="566"/>
      <c r="AD50" s="566"/>
      <c r="AE50" s="566"/>
      <c r="AF50" s="566"/>
      <c r="AG50" s="1641">
        <v>11</v>
      </c>
    </row>
    <row r="51" s="1641" customFormat="1" ht="11.5" customHeight="1">
      <c r="A51" s="987"/>
      <c r="B51" s="1636"/>
      <c r="C51" s="1636"/>
      <c r="D51" s="351"/>
      <c r="J51" s="1641"/>
      <c r="L51" s="1160"/>
      <c r="M51" s="1636"/>
      <c r="N51" s="1636"/>
      <c r="O51" s="1160"/>
      <c r="P51" s="1160"/>
      <c r="Q51" s="1160"/>
      <c r="R51" s="1160"/>
      <c r="S51" s="1636"/>
      <c r="T51" s="1160"/>
      <c r="U51" s="1160"/>
      <c r="V51" s="544"/>
      <c r="W51" s="1160"/>
      <c r="X51" s="1160"/>
      <c r="Y51" s="1160"/>
      <c r="Z51" s="1160"/>
      <c r="AA51" s="1160"/>
      <c r="AB51" s="1632"/>
      <c r="AC51" s="566"/>
      <c r="AD51" s="566"/>
      <c r="AE51" s="566"/>
      <c r="AF51" s="566"/>
      <c r="AG51" s="1641">
        <v>11</v>
      </c>
    </row>
    <row r="52" s="1641" customFormat="1" ht="11.5" customHeight="1">
      <c r="A52" s="987"/>
      <c r="B52" s="1636"/>
      <c r="C52" s="1636"/>
      <c r="D52" s="351"/>
      <c r="J52" s="1641"/>
      <c r="L52" s="1160"/>
      <c r="M52" s="1636"/>
      <c r="N52" s="1636"/>
      <c r="O52" s="1160"/>
      <c r="P52" s="1160"/>
      <c r="Q52" s="1160"/>
      <c r="R52" s="1160"/>
      <c r="S52" s="1636"/>
      <c r="T52" s="1160"/>
      <c r="U52" s="1160"/>
      <c r="V52" s="544"/>
      <c r="W52" s="1160"/>
      <c r="X52" s="1160"/>
      <c r="Y52" s="1160"/>
      <c r="Z52" s="1160"/>
      <c r="AA52" s="1160"/>
      <c r="AB52" s="1632"/>
      <c r="AC52" s="566"/>
      <c r="AD52" s="566"/>
      <c r="AE52" s="566"/>
      <c r="AF52" s="566"/>
      <c r="AG52" s="1641">
        <v>11</v>
      </c>
    </row>
    <row r="53" s="1641" customFormat="1" ht="11.5" customHeight="1">
      <c r="A53" s="987"/>
      <c r="B53" s="1636"/>
      <c r="C53" s="1636"/>
      <c r="D53" s="351"/>
      <c r="J53" s="1641"/>
      <c r="L53" s="1160"/>
      <c r="M53" s="1636"/>
      <c r="N53" s="1636"/>
      <c r="O53" s="1160"/>
      <c r="P53" s="1160"/>
      <c r="Q53" s="1160"/>
      <c r="R53" s="1160"/>
      <c r="S53" s="1636"/>
      <c r="T53" s="1160"/>
      <c r="U53" s="1160"/>
      <c r="V53" s="544"/>
      <c r="W53" s="1160"/>
      <c r="X53" s="1160"/>
      <c r="Y53" s="1160"/>
      <c r="Z53" s="1160"/>
      <c r="AA53" s="1160"/>
      <c r="AB53" s="1632"/>
      <c r="AC53" s="566"/>
      <c r="AD53" s="566"/>
      <c r="AE53" s="566"/>
      <c r="AF53" s="566"/>
      <c r="AG53" s="1641">
        <v>11</v>
      </c>
    </row>
    <row r="54" s="1641" customFormat="1" ht="11.5" customHeight="1">
      <c r="A54" s="987"/>
      <c r="B54" s="1636"/>
      <c r="C54" s="1636"/>
      <c r="D54" s="351"/>
      <c r="J54" s="1641"/>
      <c r="L54" s="1160"/>
      <c r="M54" s="1636"/>
      <c r="N54" s="1636"/>
      <c r="O54" s="1160"/>
      <c r="P54" s="1160"/>
      <c r="Q54" s="1160"/>
      <c r="R54" s="1160"/>
      <c r="S54" s="1636"/>
      <c r="T54" s="1160"/>
      <c r="U54" s="1160"/>
      <c r="V54" s="544"/>
      <c r="W54" s="1160"/>
      <c r="X54" s="1160"/>
      <c r="Y54" s="1160"/>
      <c r="Z54" s="1160"/>
      <c r="AA54" s="1160"/>
      <c r="AB54" s="1632"/>
      <c r="AC54" s="566"/>
      <c r="AD54" s="566"/>
      <c r="AE54" s="566"/>
      <c r="AF54" s="566"/>
      <c r="AG54" s="1641">
        <v>11</v>
      </c>
    </row>
    <row r="55" s="1641" customFormat="1" ht="11.5" customHeight="1">
      <c r="A55" s="987"/>
      <c r="B55" s="1636"/>
      <c r="C55" s="1636"/>
      <c r="D55" s="351"/>
      <c r="J55" s="1641"/>
      <c r="L55" s="1160"/>
      <c r="M55" s="1636"/>
      <c r="N55" s="1636"/>
      <c r="O55" s="1160"/>
      <c r="P55" s="1160"/>
      <c r="Q55" s="1160"/>
      <c r="R55" s="1160"/>
      <c r="S55" s="1636"/>
      <c r="T55" s="1160"/>
      <c r="U55" s="1160"/>
      <c r="V55" s="544"/>
      <c r="W55" s="1160"/>
      <c r="X55" s="1160"/>
      <c r="Y55" s="1160"/>
      <c r="Z55" s="1160"/>
      <c r="AA55" s="1160"/>
      <c r="AB55" s="1632"/>
      <c r="AC55" s="566"/>
      <c r="AD55" s="566"/>
      <c r="AE55" s="566"/>
      <c r="AF55" s="566"/>
      <c r="AG55" s="1641">
        <v>11</v>
      </c>
    </row>
    <row r="56" s="1641" customFormat="1" ht="11.5" customHeight="1">
      <c r="A56" s="987"/>
      <c r="B56" s="1636"/>
      <c r="C56" s="1636"/>
      <c r="D56" s="351"/>
      <c r="J56" s="1641"/>
      <c r="L56" s="1160"/>
      <c r="M56" s="1636"/>
      <c r="N56" s="1636"/>
      <c r="O56" s="1160"/>
      <c r="P56" s="1160"/>
      <c r="Q56" s="1160"/>
      <c r="R56" s="1160"/>
      <c r="S56" s="1636"/>
      <c r="T56" s="1160"/>
      <c r="U56" s="1160"/>
      <c r="V56" s="544"/>
      <c r="W56" s="1160"/>
      <c r="X56" s="1160"/>
      <c r="Y56" s="1160"/>
      <c r="Z56" s="1160"/>
      <c r="AA56" s="1160"/>
      <c r="AB56" s="1632"/>
      <c r="AC56" s="566"/>
      <c r="AD56" s="566"/>
      <c r="AE56" s="566"/>
      <c r="AF56" s="566"/>
      <c r="AG56" s="1641">
        <v>11</v>
      </c>
    </row>
    <row r="57" s="1641" customFormat="1" ht="11.5" customHeight="1">
      <c r="A57" s="987"/>
      <c r="B57" s="1636"/>
      <c r="C57" s="1636"/>
      <c r="D57" s="351"/>
      <c r="J57" s="1641"/>
      <c r="L57" s="1160"/>
      <c r="M57" s="1636"/>
      <c r="N57" s="1636"/>
      <c r="O57" s="1160"/>
      <c r="P57" s="1160"/>
      <c r="Q57" s="1160"/>
      <c r="R57" s="1160"/>
      <c r="S57" s="1636"/>
      <c r="T57" s="1160"/>
      <c r="U57" s="1160"/>
      <c r="V57" s="544"/>
      <c r="W57" s="1160"/>
      <c r="X57" s="1160"/>
      <c r="Y57" s="1160"/>
      <c r="Z57" s="1160"/>
      <c r="AA57" s="1160"/>
      <c r="AB57" s="1632"/>
      <c r="AC57" s="566"/>
      <c r="AD57" s="566"/>
      <c r="AE57" s="566"/>
      <c r="AF57" s="566"/>
      <c r="AG57" s="1641">
        <v>11</v>
      </c>
    </row>
    <row r="58" s="1641" customFormat="1" ht="11.5" customHeight="1">
      <c r="A58" s="987"/>
      <c r="B58" s="1636"/>
      <c r="C58" s="1636"/>
      <c r="D58" s="351"/>
      <c r="J58" s="1641"/>
      <c r="L58" s="1160"/>
      <c r="M58" s="1636"/>
      <c r="N58" s="1636"/>
      <c r="O58" s="1160"/>
      <c r="P58" s="1160"/>
      <c r="Q58" s="1160"/>
      <c r="R58" s="1160"/>
      <c r="S58" s="1636"/>
      <c r="T58" s="1160"/>
      <c r="U58" s="1160"/>
      <c r="V58" s="544"/>
      <c r="W58" s="1160"/>
      <c r="X58" s="1160"/>
      <c r="Y58" s="1160"/>
      <c r="Z58" s="1160"/>
      <c r="AA58" s="1160"/>
      <c r="AB58" s="1632"/>
      <c r="AC58" s="566"/>
      <c r="AD58" s="566"/>
      <c r="AE58" s="566"/>
      <c r="AF58" s="566"/>
      <c r="AG58" s="1641">
        <v>11</v>
      </c>
    </row>
    <row r="59" s="1641" customFormat="1" ht="11.5" customHeight="1">
      <c r="A59" s="987"/>
      <c r="B59" s="1636"/>
      <c r="C59" s="1636"/>
      <c r="D59" s="351"/>
      <c r="J59" s="1641"/>
      <c r="L59" s="1160"/>
      <c r="M59" s="1636"/>
      <c r="N59" s="1636"/>
      <c r="O59" s="1160"/>
      <c r="P59" s="1160"/>
      <c r="Q59" s="1160"/>
      <c r="R59" s="1160"/>
      <c r="S59" s="1636"/>
      <c r="T59" s="1160"/>
      <c r="U59" s="1160"/>
      <c r="V59" s="544"/>
      <c r="W59" s="1160"/>
      <c r="X59" s="1160"/>
      <c r="Y59" s="1160"/>
      <c r="Z59" s="1160"/>
      <c r="AA59" s="1160"/>
      <c r="AB59" s="1632"/>
      <c r="AC59" s="566"/>
      <c r="AD59" s="566"/>
      <c r="AE59" s="566"/>
      <c r="AF59" s="566"/>
      <c r="AG59" s="1641">
        <v>11</v>
      </c>
    </row>
    <row r="60" s="1641" customFormat="1" ht="11.5" customHeight="1">
      <c r="A60" s="987"/>
      <c r="B60" s="1636"/>
      <c r="C60" s="1636"/>
      <c r="D60" s="351"/>
      <c r="J60" s="1641"/>
      <c r="L60" s="1160"/>
      <c r="M60" s="1636"/>
      <c r="N60" s="1636"/>
      <c r="O60" s="1160"/>
      <c r="P60" s="1160"/>
      <c r="Q60" s="1160"/>
      <c r="R60" s="1160"/>
      <c r="S60" s="1636"/>
      <c r="T60" s="1160"/>
      <c r="U60" s="1160"/>
      <c r="V60" s="544"/>
      <c r="W60" s="1160"/>
      <c r="X60" s="1160"/>
      <c r="Y60" s="1160"/>
      <c r="Z60" s="1160"/>
      <c r="AA60" s="1160"/>
      <c r="AB60" s="1632"/>
      <c r="AC60" s="566"/>
      <c r="AD60" s="566"/>
      <c r="AE60" s="566"/>
      <c r="AF60" s="566"/>
      <c r="AG60" s="1641">
        <v>11</v>
      </c>
    </row>
    <row r="61" s="1641" customFormat="1" ht="11.5" customHeight="1">
      <c r="A61" s="987"/>
      <c r="B61" s="1636"/>
      <c r="C61" s="1636"/>
      <c r="D61" s="351"/>
      <c r="J61" s="1641"/>
      <c r="L61" s="1160"/>
      <c r="M61" s="1636"/>
      <c r="N61" s="1636"/>
      <c r="O61" s="1160"/>
      <c r="P61" s="1160"/>
      <c r="Q61" s="1160"/>
      <c r="R61" s="1160"/>
      <c r="S61" s="1636"/>
      <c r="T61" s="1160"/>
      <c r="U61" s="1160"/>
      <c r="V61" s="544"/>
      <c r="W61" s="1160"/>
      <c r="X61" s="1160"/>
      <c r="Y61" s="1160"/>
      <c r="Z61" s="1160"/>
      <c r="AA61" s="1160"/>
      <c r="AB61" s="1632"/>
      <c r="AC61" s="566"/>
      <c r="AD61" s="566"/>
      <c r="AE61" s="566"/>
      <c r="AF61" s="566"/>
      <c r="AG61" s="1641">
        <v>11</v>
      </c>
    </row>
    <row r="62" s="1641" customFormat="1" ht="11.5" customHeight="1">
      <c r="A62" s="987"/>
      <c r="B62" s="1636"/>
      <c r="C62" s="1636"/>
      <c r="D62" s="351"/>
      <c r="J62" s="1641"/>
      <c r="L62" s="1160"/>
      <c r="M62" s="1636"/>
      <c r="N62" s="1636"/>
      <c r="O62" s="1160"/>
      <c r="P62" s="1160"/>
      <c r="Q62" s="1160"/>
      <c r="R62" s="1160"/>
      <c r="S62" s="1636"/>
      <c r="T62" s="1160"/>
      <c r="U62" s="1160"/>
      <c r="V62" s="544"/>
      <c r="W62" s="1160"/>
      <c r="X62" s="1160"/>
      <c r="Y62" s="1160"/>
      <c r="Z62" s="1160"/>
      <c r="AA62" s="1160"/>
      <c r="AB62" s="1632"/>
      <c r="AC62" s="566"/>
      <c r="AD62" s="566"/>
      <c r="AE62" s="566"/>
      <c r="AF62" s="566"/>
      <c r="AG62" s="1641">
        <v>11</v>
      </c>
    </row>
    <row r="63" s="1641" customFormat="1" ht="11.5" customHeight="1">
      <c r="A63" s="987"/>
      <c r="B63" s="1636"/>
      <c r="C63" s="1636"/>
      <c r="D63" s="351"/>
      <c r="J63" s="1641"/>
      <c r="L63" s="1160"/>
      <c r="M63" s="1636"/>
      <c r="N63" s="1636"/>
      <c r="O63" s="1160"/>
      <c r="P63" s="1160"/>
      <c r="Q63" s="1160"/>
      <c r="R63" s="1160"/>
      <c r="S63" s="1636"/>
      <c r="T63" s="1160"/>
      <c r="U63" s="1160"/>
      <c r="V63" s="544"/>
      <c r="W63" s="1160"/>
      <c r="X63" s="1160"/>
      <c r="Y63" s="1160"/>
      <c r="Z63" s="1160"/>
      <c r="AA63" s="1160"/>
      <c r="AB63" s="1632"/>
      <c r="AC63" s="566"/>
      <c r="AD63" s="566"/>
      <c r="AE63" s="566"/>
      <c r="AF63" s="566"/>
      <c r="AG63" s="1641">
        <v>11</v>
      </c>
    </row>
    <row r="64" s="1641" customFormat="1" ht="11.5" customHeight="1">
      <c r="A64" s="987"/>
      <c r="B64" s="1636"/>
      <c r="C64" s="1636"/>
      <c r="D64" s="351"/>
      <c r="J64" s="1641"/>
      <c r="L64" s="1160"/>
      <c r="M64" s="1636"/>
      <c r="N64" s="1636"/>
      <c r="O64" s="1160"/>
      <c r="P64" s="1160"/>
      <c r="Q64" s="1160"/>
      <c r="R64" s="1160"/>
      <c r="S64" s="1636"/>
      <c r="T64" s="1160"/>
      <c r="U64" s="1160"/>
      <c r="V64" s="544"/>
      <c r="W64" s="1160"/>
      <c r="X64" s="1160"/>
      <c r="Y64" s="1160"/>
      <c r="Z64" s="1160"/>
      <c r="AA64" s="1160"/>
      <c r="AB64" s="1632"/>
      <c r="AC64" s="566"/>
      <c r="AD64" s="566"/>
      <c r="AE64" s="566"/>
      <c r="AF64" s="566"/>
      <c r="AG64" s="1641">
        <v>11</v>
      </c>
    </row>
    <row r="65" s="1641" customFormat="1" ht="11.5" customHeight="1">
      <c r="A65" s="987"/>
      <c r="B65" s="1636"/>
      <c r="C65" s="1636"/>
      <c r="D65" s="351"/>
      <c r="J65" s="1641"/>
      <c r="L65" s="1160"/>
      <c r="M65" s="1636"/>
      <c r="N65" s="1636"/>
      <c r="O65" s="1160"/>
      <c r="P65" s="1160"/>
      <c r="Q65" s="1160"/>
      <c r="R65" s="1160"/>
      <c r="S65" s="1636"/>
      <c r="T65" s="1160"/>
      <c r="U65" s="1160"/>
      <c r="V65" s="544"/>
      <c r="W65" s="1160"/>
      <c r="X65" s="1160"/>
      <c r="Y65" s="1160"/>
      <c r="Z65" s="1160"/>
      <c r="AA65" s="1160"/>
      <c r="AB65" s="1632"/>
      <c r="AC65" s="566"/>
      <c r="AD65" s="566"/>
      <c r="AE65" s="566"/>
      <c r="AF65" s="566"/>
      <c r="AG65" s="1641">
        <v>11</v>
      </c>
    </row>
    <row r="66" s="1641" customFormat="1" ht="11.5" customHeight="1">
      <c r="A66" s="987"/>
      <c r="B66" s="1636"/>
      <c r="C66" s="1636"/>
      <c r="D66" s="351"/>
      <c r="J66" s="1641"/>
      <c r="L66" s="1160"/>
      <c r="M66" s="1636"/>
      <c r="N66" s="1636"/>
      <c r="O66" s="1160"/>
      <c r="P66" s="1160"/>
      <c r="Q66" s="1160"/>
      <c r="R66" s="1160"/>
      <c r="S66" s="1636"/>
      <c r="T66" s="1160"/>
      <c r="U66" s="1160"/>
      <c r="V66" s="544"/>
      <c r="W66" s="1160"/>
      <c r="X66" s="1160"/>
      <c r="Y66" s="1160"/>
      <c r="Z66" s="1160"/>
      <c r="AA66" s="1160"/>
      <c r="AB66" s="1632"/>
      <c r="AC66" s="566"/>
      <c r="AD66" s="566"/>
      <c r="AE66" s="566"/>
      <c r="AF66" s="566"/>
      <c r="AG66" s="1641">
        <v>11</v>
      </c>
    </row>
    <row r="67" s="1641" customFormat="1" ht="11.5" customHeight="1">
      <c r="A67" s="987"/>
      <c r="B67" s="1636"/>
      <c r="C67" s="1636"/>
      <c r="D67" s="351"/>
      <c r="J67" s="1641"/>
      <c r="L67" s="1160"/>
      <c r="M67" s="1636"/>
      <c r="N67" s="1636"/>
      <c r="O67" s="1160"/>
      <c r="P67" s="1160"/>
      <c r="Q67" s="1160"/>
      <c r="R67" s="1160"/>
      <c r="S67" s="1636"/>
      <c r="T67" s="1160"/>
      <c r="U67" s="1160"/>
      <c r="V67" s="544"/>
      <c r="W67" s="1160"/>
      <c r="X67" s="1160"/>
      <c r="Y67" s="1160"/>
      <c r="Z67" s="1160"/>
      <c r="AA67" s="1160"/>
      <c r="AB67" s="1632"/>
      <c r="AC67" s="566"/>
      <c r="AD67" s="566"/>
      <c r="AE67" s="566"/>
      <c r="AF67" s="566"/>
      <c r="AG67" s="1641">
        <v>11</v>
      </c>
    </row>
    <row r="68" s="1641" customFormat="1" ht="11.5" customHeight="1">
      <c r="A68" s="987"/>
      <c r="B68" s="1636"/>
      <c r="C68" s="1636"/>
      <c r="D68" s="351"/>
      <c r="J68" s="1641"/>
      <c r="L68" s="1160"/>
      <c r="M68" s="1636"/>
      <c r="N68" s="1636"/>
      <c r="O68" s="1160"/>
      <c r="P68" s="1160"/>
      <c r="Q68" s="1160"/>
      <c r="R68" s="1160"/>
      <c r="S68" s="1636"/>
      <c r="T68" s="1160"/>
      <c r="U68" s="1160"/>
      <c r="V68" s="544"/>
      <c r="W68" s="1160"/>
      <c r="X68" s="1160"/>
      <c r="Y68" s="1160"/>
      <c r="Z68" s="1160"/>
      <c r="AA68" s="1160"/>
      <c r="AB68" s="1632"/>
      <c r="AC68" s="566"/>
      <c r="AD68" s="566"/>
      <c r="AE68" s="566"/>
      <c r="AF68" s="566"/>
      <c r="AG68" s="1641">
        <v>11</v>
      </c>
    </row>
    <row r="69" s="1641" customFormat="1" ht="11.5" customHeight="1">
      <c r="A69" s="987"/>
      <c r="B69" s="1636"/>
      <c r="C69" s="1636"/>
      <c r="D69" s="351"/>
      <c r="J69" s="1641"/>
      <c r="L69" s="1160"/>
      <c r="M69" s="1636"/>
      <c r="N69" s="1636"/>
      <c r="O69" s="1160"/>
      <c r="P69" s="1160"/>
      <c r="Q69" s="1160"/>
      <c r="R69" s="1160"/>
      <c r="S69" s="1636"/>
      <c r="T69" s="1160"/>
      <c r="U69" s="1160"/>
      <c r="V69" s="544"/>
      <c r="W69" s="1160"/>
      <c r="X69" s="1160"/>
      <c r="Y69" s="1160"/>
      <c r="Z69" s="1160"/>
      <c r="AA69" s="1160"/>
      <c r="AB69" s="1632"/>
      <c r="AC69" s="566"/>
      <c r="AD69" s="566"/>
      <c r="AE69" s="566"/>
      <c r="AF69" s="566"/>
      <c r="AG69" s="1641">
        <v>11</v>
      </c>
    </row>
    <row r="70" s="1641" customFormat="1" ht="11.5" customHeight="1">
      <c r="A70" s="987"/>
      <c r="B70" s="1636"/>
      <c r="C70" s="1636"/>
      <c r="D70" s="351"/>
      <c r="J70" s="1641"/>
      <c r="L70" s="1160"/>
      <c r="M70" s="1636"/>
      <c r="N70" s="1636"/>
      <c r="O70" s="1160"/>
      <c r="P70" s="1160"/>
      <c r="Q70" s="1160"/>
      <c r="R70" s="1160"/>
      <c r="S70" s="1636"/>
      <c r="T70" s="1160"/>
      <c r="U70" s="1160"/>
      <c r="V70" s="544"/>
      <c r="W70" s="1160"/>
      <c r="X70" s="1160"/>
      <c r="Y70" s="1160"/>
      <c r="Z70" s="1160"/>
      <c r="AA70" s="1160"/>
      <c r="AB70" s="1632"/>
      <c r="AC70" s="566"/>
      <c r="AD70" s="566"/>
      <c r="AE70" s="566"/>
      <c r="AF70" s="566"/>
      <c r="AG70" s="1641">
        <v>11</v>
      </c>
    </row>
    <row r="71" s="1641" customFormat="1" ht="11.5" customHeight="1">
      <c r="A71" s="987"/>
      <c r="B71" s="1636"/>
      <c r="C71" s="1636"/>
      <c r="D71" s="351"/>
      <c r="J71" s="1641"/>
      <c r="L71" s="1160"/>
      <c r="M71" s="1636"/>
      <c r="N71" s="1636"/>
      <c r="O71" s="1160"/>
      <c r="P71" s="1160"/>
      <c r="Q71" s="1160"/>
      <c r="R71" s="1160"/>
      <c r="S71" s="1636"/>
      <c r="T71" s="1160"/>
      <c r="U71" s="1160"/>
      <c r="V71" s="544"/>
      <c r="W71" s="1160"/>
      <c r="X71" s="1160"/>
      <c r="Y71" s="1160"/>
      <c r="Z71" s="1160"/>
      <c r="AA71" s="1160"/>
      <c r="AB71" s="1632"/>
      <c r="AC71" s="566"/>
      <c r="AD71" s="566"/>
      <c r="AE71" s="566"/>
      <c r="AF71" s="566"/>
      <c r="AG71" s="1641">
        <v>11</v>
      </c>
    </row>
    <row r="72" s="1641" customFormat="1" ht="11.5" customHeight="1">
      <c r="A72" s="987"/>
      <c r="B72" s="1636"/>
      <c r="C72" s="1636"/>
      <c r="D72" s="351"/>
      <c r="J72" s="1641"/>
      <c r="L72" s="1160"/>
      <c r="M72" s="1636"/>
      <c r="N72" s="1636"/>
      <c r="O72" s="1160"/>
      <c r="P72" s="1160"/>
      <c r="Q72" s="1160"/>
      <c r="R72" s="1160"/>
      <c r="S72" s="1636"/>
      <c r="T72" s="1160"/>
      <c r="U72" s="1160"/>
      <c r="V72" s="544"/>
      <c r="W72" s="1160"/>
      <c r="X72" s="1160"/>
      <c r="Y72" s="1160"/>
      <c r="Z72" s="1160"/>
      <c r="AA72" s="1160"/>
      <c r="AB72" s="1632"/>
      <c r="AC72" s="566"/>
      <c r="AD72" s="566"/>
      <c r="AE72" s="566"/>
      <c r="AF72" s="566"/>
      <c r="AG72" s="1641">
        <v>11</v>
      </c>
    </row>
    <row r="73" s="1641" customFormat="1" ht="11.5" customHeight="1">
      <c r="A73" s="987"/>
      <c r="B73" s="1636"/>
      <c r="C73" s="1636"/>
      <c r="D73" s="351"/>
      <c r="J73" s="1641"/>
      <c r="L73" s="1160"/>
      <c r="M73" s="1636"/>
      <c r="N73" s="1636"/>
      <c r="O73" s="1160"/>
      <c r="P73" s="1160"/>
      <c r="Q73" s="1160"/>
      <c r="R73" s="1160"/>
      <c r="S73" s="1636"/>
      <c r="T73" s="1160"/>
      <c r="U73" s="1160"/>
      <c r="V73" s="544"/>
      <c r="W73" s="1160"/>
      <c r="X73" s="1160"/>
      <c r="Y73" s="1160"/>
      <c r="Z73" s="1160"/>
      <c r="AA73" s="1160"/>
      <c r="AB73" s="1632"/>
      <c r="AC73" s="566"/>
      <c r="AD73" s="566"/>
      <c r="AE73" s="566"/>
      <c r="AF73" s="566"/>
      <c r="AG73" s="1641">
        <v>11</v>
      </c>
    </row>
    <row r="74" s="1641" customFormat="1" ht="11.5" customHeight="1">
      <c r="A74" s="987"/>
      <c r="B74" s="1636"/>
      <c r="C74" s="1636"/>
      <c r="D74" s="351"/>
      <c r="J74" s="1641"/>
      <c r="L74" s="1160"/>
      <c r="M74" s="1636"/>
      <c r="N74" s="1636"/>
      <c r="O74" s="1160"/>
      <c r="P74" s="1160"/>
      <c r="Q74" s="1160"/>
      <c r="R74" s="1160"/>
      <c r="S74" s="1636"/>
      <c r="T74" s="1160"/>
      <c r="U74" s="1160"/>
      <c r="V74" s="544"/>
      <c r="W74" s="1160"/>
      <c r="X74" s="1160"/>
      <c r="Y74" s="1160"/>
      <c r="Z74" s="1160"/>
      <c r="AA74" s="1160"/>
      <c r="AB74" s="1632"/>
      <c r="AC74" s="566"/>
      <c r="AD74" s="566"/>
      <c r="AE74" s="566"/>
      <c r="AF74" s="566"/>
      <c r="AG74" s="1641">
        <v>11</v>
      </c>
    </row>
    <row r="75" s="1641" customFormat="1" ht="11.5" customHeight="1">
      <c r="A75" s="987"/>
      <c r="B75" s="1636"/>
      <c r="C75" s="1636"/>
      <c r="D75" s="351"/>
      <c r="J75" s="1641"/>
      <c r="L75" s="1160"/>
      <c r="M75" s="1636"/>
      <c r="N75" s="1636"/>
      <c r="O75" s="1160"/>
      <c r="P75" s="1160"/>
      <c r="Q75" s="1160"/>
      <c r="R75" s="1160"/>
      <c r="S75" s="1636"/>
      <c r="T75" s="1160"/>
      <c r="U75" s="1160"/>
      <c r="V75" s="544"/>
      <c r="W75" s="1160"/>
      <c r="X75" s="1160"/>
      <c r="Y75" s="1160"/>
      <c r="Z75" s="1160"/>
      <c r="AA75" s="1160"/>
      <c r="AB75" s="1632"/>
      <c r="AC75" s="566"/>
      <c r="AD75" s="566"/>
      <c r="AE75" s="566"/>
      <c r="AF75" s="566"/>
      <c r="AG75" s="1641">
        <v>11</v>
      </c>
    </row>
    <row r="76" s="1641" customFormat="1" ht="11.5" customHeight="1">
      <c r="A76" s="987"/>
      <c r="B76" s="1636"/>
      <c r="C76" s="1636"/>
      <c r="D76" s="351"/>
      <c r="J76" s="1641"/>
      <c r="L76" s="1160"/>
      <c r="M76" s="1636"/>
      <c r="N76" s="1636"/>
      <c r="O76" s="1160"/>
      <c r="P76" s="1160"/>
      <c r="Q76" s="1160"/>
      <c r="R76" s="1160"/>
      <c r="S76" s="1636"/>
      <c r="T76" s="1160"/>
      <c r="U76" s="1160"/>
      <c r="V76" s="544"/>
      <c r="W76" s="1160"/>
      <c r="X76" s="1160"/>
      <c r="Y76" s="1160"/>
      <c r="Z76" s="1160"/>
      <c r="AA76" s="1160"/>
      <c r="AB76" s="1632"/>
      <c r="AC76" s="566"/>
      <c r="AD76" s="566"/>
      <c r="AE76" s="566"/>
      <c r="AF76" s="566"/>
      <c r="AG76" s="1641">
        <v>11</v>
      </c>
    </row>
    <row r="77" s="1641" customFormat="1" ht="11.5" customHeight="1">
      <c r="A77" s="987"/>
      <c r="B77" s="1636"/>
      <c r="C77" s="1636"/>
      <c r="D77" s="351"/>
      <c r="J77" s="1641"/>
      <c r="L77" s="1160"/>
      <c r="M77" s="1636"/>
      <c r="N77" s="1636"/>
      <c r="O77" s="1160"/>
      <c r="P77" s="1160"/>
      <c r="Q77" s="1160"/>
      <c r="R77" s="1160"/>
      <c r="S77" s="1636"/>
      <c r="T77" s="1160"/>
      <c r="U77" s="1160"/>
      <c r="V77" s="544"/>
      <c r="W77" s="1160"/>
      <c r="X77" s="1160"/>
      <c r="Y77" s="1160"/>
      <c r="Z77" s="1160"/>
      <c r="AA77" s="1160"/>
      <c r="AB77" s="1632"/>
      <c r="AC77" s="566"/>
      <c r="AD77" s="566"/>
      <c r="AE77" s="566"/>
      <c r="AF77" s="566"/>
      <c r="AG77" s="1641">
        <v>11</v>
      </c>
    </row>
    <row r="78" s="1641" customFormat="1" ht="11.5" customHeight="1">
      <c r="A78" s="987"/>
      <c r="B78" s="1636"/>
      <c r="C78" s="1636"/>
      <c r="D78" s="351"/>
      <c r="J78" s="1641"/>
      <c r="L78" s="1160"/>
      <c r="M78" s="1636"/>
      <c r="N78" s="1636"/>
      <c r="O78" s="1160"/>
      <c r="P78" s="1160"/>
      <c r="Q78" s="1160"/>
      <c r="R78" s="1160"/>
      <c r="S78" s="1636"/>
      <c r="T78" s="1160"/>
      <c r="U78" s="1160"/>
      <c r="V78" s="544"/>
      <c r="W78" s="1160"/>
      <c r="X78" s="1160"/>
      <c r="Y78" s="1160"/>
      <c r="Z78" s="1160"/>
      <c r="AA78" s="1160"/>
      <c r="AB78" s="1632"/>
      <c r="AC78" s="566"/>
      <c r="AD78" s="566"/>
      <c r="AE78" s="566"/>
      <c r="AF78" s="566"/>
      <c r="AG78" s="1641">
        <v>11</v>
      </c>
    </row>
    <row r="79" s="1641" customFormat="1" ht="11.5" customHeight="1">
      <c r="A79" s="987"/>
      <c r="B79" s="1636"/>
      <c r="C79" s="1636"/>
      <c r="D79" s="351"/>
      <c r="J79" s="1641"/>
      <c r="L79" s="1160"/>
      <c r="M79" s="1636"/>
      <c r="N79" s="1636"/>
      <c r="O79" s="1160"/>
      <c r="P79" s="1160"/>
      <c r="Q79" s="1160"/>
      <c r="R79" s="1160"/>
      <c r="S79" s="1636"/>
      <c r="T79" s="1160"/>
      <c r="U79" s="1160"/>
      <c r="V79" s="544"/>
      <c r="W79" s="1160"/>
      <c r="X79" s="1160"/>
      <c r="Y79" s="1160"/>
      <c r="Z79" s="1160"/>
      <c r="AA79" s="1160"/>
      <c r="AB79" s="1632"/>
      <c r="AC79" s="566"/>
      <c r="AD79" s="566"/>
      <c r="AE79" s="566"/>
      <c r="AF79" s="566"/>
      <c r="AG79" s="1641">
        <v>11</v>
      </c>
    </row>
    <row r="80" s="1641" customFormat="1" ht="11.5" customHeight="1">
      <c r="A80" s="987"/>
      <c r="B80" s="1636"/>
      <c r="C80" s="1636"/>
      <c r="D80" s="351"/>
      <c r="J80" s="1641"/>
      <c r="L80" s="1160"/>
      <c r="M80" s="1636"/>
      <c r="N80" s="1636"/>
      <c r="O80" s="1160"/>
      <c r="P80" s="1160"/>
      <c r="Q80" s="1160"/>
      <c r="R80" s="1160"/>
      <c r="S80" s="1636"/>
      <c r="T80" s="1160"/>
      <c r="U80" s="1160"/>
      <c r="V80" s="544"/>
      <c r="W80" s="1160"/>
      <c r="X80" s="1160"/>
      <c r="Y80" s="1160"/>
      <c r="Z80" s="1160"/>
      <c r="AA80" s="1160"/>
      <c r="AB80" s="1632"/>
      <c r="AC80" s="566"/>
      <c r="AD80" s="566"/>
      <c r="AE80" s="566"/>
      <c r="AF80" s="566"/>
      <c r="AG80" s="1641">
        <v>11</v>
      </c>
    </row>
    <row r="81" s="1641" customFormat="1" ht="11.5" customHeight="1">
      <c r="A81" s="987"/>
      <c r="B81" s="1636"/>
      <c r="C81" s="1636"/>
      <c r="D81" s="351"/>
      <c r="J81" s="1641"/>
      <c r="L81" s="1160"/>
      <c r="M81" s="1636"/>
      <c r="N81" s="1636"/>
      <c r="O81" s="1160"/>
      <c r="P81" s="1160"/>
      <c r="Q81" s="1160"/>
      <c r="R81" s="1160"/>
      <c r="S81" s="1636"/>
      <c r="T81" s="1160"/>
      <c r="U81" s="1160"/>
      <c r="V81" s="544"/>
      <c r="W81" s="1160"/>
      <c r="X81" s="1160"/>
      <c r="Y81" s="1160"/>
      <c r="Z81" s="1160"/>
      <c r="AA81" s="1160"/>
      <c r="AB81" s="1632"/>
      <c r="AC81" s="566"/>
      <c r="AD81" s="566"/>
      <c r="AE81" s="566"/>
      <c r="AF81" s="566"/>
      <c r="AG81" s="1641">
        <v>11</v>
      </c>
    </row>
    <row r="82" s="1641" customFormat="1" ht="11.5" customHeight="1">
      <c r="A82" s="987"/>
      <c r="B82" s="1636"/>
      <c r="C82" s="1636"/>
      <c r="D82" s="351"/>
      <c r="J82" s="1641"/>
      <c r="L82" s="1160"/>
      <c r="M82" s="1636"/>
      <c r="N82" s="1636"/>
      <c r="O82" s="1160"/>
      <c r="P82" s="1160"/>
      <c r="Q82" s="1160"/>
      <c r="R82" s="1160"/>
      <c r="S82" s="1636"/>
      <c r="T82" s="1160"/>
      <c r="U82" s="1160"/>
      <c r="V82" s="544"/>
      <c r="W82" s="1160"/>
      <c r="X82" s="1160"/>
      <c r="Y82" s="1160"/>
      <c r="Z82" s="1160"/>
      <c r="AA82" s="1160"/>
      <c r="AB82" s="1632"/>
      <c r="AC82" s="566"/>
      <c r="AD82" s="566"/>
      <c r="AE82" s="566"/>
      <c r="AF82" s="566"/>
      <c r="AG82" s="1641">
        <v>11</v>
      </c>
    </row>
    <row r="83" s="1641" customFormat="1" ht="11.5" customHeight="1">
      <c r="A83" s="987"/>
      <c r="B83" s="1636"/>
      <c r="C83" s="1636"/>
      <c r="D83" s="351"/>
      <c r="J83" s="1641"/>
      <c r="L83" s="1160"/>
      <c r="M83" s="1636"/>
      <c r="N83" s="1636"/>
      <c r="O83" s="1160"/>
      <c r="P83" s="1160"/>
      <c r="Q83" s="1160"/>
      <c r="R83" s="1160"/>
      <c r="S83" s="1636"/>
      <c r="T83" s="1160"/>
      <c r="U83" s="1160"/>
      <c r="V83" s="544"/>
      <c r="W83" s="1160"/>
      <c r="X83" s="1160"/>
      <c r="Y83" s="1160"/>
      <c r="Z83" s="1160"/>
      <c r="AA83" s="1160"/>
      <c r="AB83" s="1632"/>
      <c r="AC83" s="566"/>
      <c r="AD83" s="566"/>
      <c r="AE83" s="566"/>
      <c r="AF83" s="566"/>
      <c r="AG83" s="1641">
        <v>11</v>
      </c>
    </row>
    <row r="84" s="1641" customFormat="1" ht="11.5" customHeight="1">
      <c r="A84" s="987"/>
      <c r="B84" s="1636"/>
      <c r="C84" s="1636"/>
      <c r="D84" s="351"/>
      <c r="J84" s="1641"/>
      <c r="L84" s="1160"/>
      <c r="M84" s="1636"/>
      <c r="N84" s="1636"/>
      <c r="O84" s="1160"/>
      <c r="P84" s="1160"/>
      <c r="Q84" s="1160"/>
      <c r="R84" s="1160"/>
      <c r="S84" s="1636"/>
      <c r="T84" s="1160"/>
      <c r="U84" s="1160"/>
      <c r="V84" s="544"/>
      <c r="W84" s="1160"/>
      <c r="X84" s="1160"/>
      <c r="Y84" s="1160"/>
      <c r="Z84" s="1160"/>
      <c r="AA84" s="1160"/>
      <c r="AB84" s="1632"/>
      <c r="AC84" s="566"/>
      <c r="AD84" s="566"/>
      <c r="AE84" s="566"/>
      <c r="AF84" s="566"/>
      <c r="AG84" s="1641">
        <v>11</v>
      </c>
    </row>
    <row r="85" s="1641" customFormat="1" ht="11.5" customHeight="1">
      <c r="A85" s="987"/>
      <c r="B85" s="1636"/>
      <c r="C85" s="1636"/>
      <c r="D85" s="351"/>
      <c r="J85" s="1641"/>
      <c r="L85" s="1160"/>
      <c r="M85" s="1636"/>
      <c r="N85" s="1636"/>
      <c r="O85" s="1160"/>
      <c r="P85" s="1160"/>
      <c r="Q85" s="1160"/>
      <c r="R85" s="1160"/>
      <c r="S85" s="1636"/>
      <c r="T85" s="1160"/>
      <c r="U85" s="1160"/>
      <c r="V85" s="544"/>
      <c r="W85" s="1160"/>
      <c r="X85" s="1160"/>
      <c r="Y85" s="1160"/>
      <c r="Z85" s="1160"/>
      <c r="AA85" s="1160"/>
      <c r="AB85" s="1632"/>
      <c r="AC85" s="566"/>
      <c r="AD85" s="566"/>
      <c r="AE85" s="566"/>
      <c r="AF85" s="566"/>
      <c r="AG85" s="1641">
        <v>11</v>
      </c>
    </row>
    <row r="86" s="1641" customFormat="1" ht="11.5" customHeight="1">
      <c r="A86" s="987"/>
      <c r="B86" s="1636"/>
      <c r="C86" s="1636"/>
      <c r="D86" s="351"/>
      <c r="J86" s="1641"/>
      <c r="L86" s="1160"/>
      <c r="M86" s="1636"/>
      <c r="N86" s="1636"/>
      <c r="O86" s="1160"/>
      <c r="P86" s="1160"/>
      <c r="Q86" s="1160"/>
      <c r="R86" s="1160"/>
      <c r="S86" s="1636"/>
      <c r="T86" s="1160"/>
      <c r="U86" s="1160"/>
      <c r="V86" s="544"/>
      <c r="W86" s="1160"/>
      <c r="X86" s="1160"/>
      <c r="Y86" s="1160"/>
      <c r="Z86" s="1160"/>
      <c r="AA86" s="1160"/>
      <c r="AB86" s="1632"/>
      <c r="AC86" s="566"/>
      <c r="AD86" s="566"/>
      <c r="AE86" s="566"/>
      <c r="AF86" s="566"/>
      <c r="AG86" s="1641">
        <v>11</v>
      </c>
    </row>
    <row r="87" s="1641" customFormat="1" ht="11.5" customHeight="1">
      <c r="A87" s="987"/>
      <c r="B87" s="1636"/>
      <c r="C87" s="1636"/>
      <c r="D87" s="351"/>
      <c r="J87" s="1641"/>
      <c r="L87" s="1160"/>
      <c r="M87" s="1636"/>
      <c r="N87" s="1636"/>
      <c r="O87" s="1160"/>
      <c r="P87" s="1160"/>
      <c r="Q87" s="1160"/>
      <c r="R87" s="1160"/>
      <c r="S87" s="1636"/>
      <c r="T87" s="1160"/>
      <c r="U87" s="1160"/>
      <c r="V87" s="544"/>
      <c r="W87" s="1160"/>
      <c r="X87" s="1160"/>
      <c r="Y87" s="1160"/>
      <c r="Z87" s="1160"/>
      <c r="AA87" s="1160"/>
      <c r="AB87" s="1632"/>
      <c r="AC87" s="566"/>
      <c r="AD87" s="566"/>
      <c r="AE87" s="566"/>
      <c r="AF87" s="566"/>
      <c r="AG87" s="1641">
        <v>11</v>
      </c>
    </row>
    <row r="88" s="1641" customFormat="1" ht="11.5" customHeight="1">
      <c r="A88" s="987"/>
      <c r="B88" s="1636"/>
      <c r="C88" s="1636"/>
      <c r="D88" s="351"/>
      <c r="J88" s="1641"/>
      <c r="L88" s="1160"/>
      <c r="M88" s="1636"/>
      <c r="N88" s="1636"/>
      <c r="O88" s="1160"/>
      <c r="P88" s="1160"/>
      <c r="Q88" s="1160"/>
      <c r="R88" s="1160"/>
      <c r="S88" s="1636"/>
      <c r="T88" s="1160"/>
      <c r="U88" s="1160"/>
      <c r="V88" s="544"/>
      <c r="W88" s="1160"/>
      <c r="X88" s="1160"/>
      <c r="Y88" s="1160"/>
      <c r="Z88" s="1160"/>
      <c r="AA88" s="1160"/>
      <c r="AB88" s="1632"/>
      <c r="AC88" s="566"/>
      <c r="AD88" s="566"/>
      <c r="AE88" s="566"/>
      <c r="AF88" s="566"/>
      <c r="AG88" s="1641">
        <v>11</v>
      </c>
    </row>
    <row r="89" s="1641" customFormat="1" ht="11.5" customHeight="1">
      <c r="A89" s="987"/>
      <c r="B89" s="1636"/>
      <c r="C89" s="1636"/>
      <c r="D89" s="351"/>
      <c r="J89" s="1641"/>
      <c r="L89" s="1160"/>
      <c r="M89" s="1636"/>
      <c r="N89" s="1636"/>
      <c r="O89" s="1160"/>
      <c r="P89" s="1160"/>
      <c r="Q89" s="1160"/>
      <c r="R89" s="1160"/>
      <c r="S89" s="1636"/>
      <c r="T89" s="1160"/>
      <c r="U89" s="1160"/>
      <c r="V89" s="544"/>
      <c r="W89" s="1160"/>
      <c r="X89" s="1160"/>
      <c r="Y89" s="1160"/>
      <c r="Z89" s="1160"/>
      <c r="AA89" s="1160"/>
      <c r="AB89" s="1632"/>
      <c r="AC89" s="566"/>
      <c r="AD89" s="566"/>
      <c r="AE89" s="566"/>
      <c r="AF89" s="566"/>
      <c r="AG89" s="1641">
        <v>11</v>
      </c>
    </row>
    <row r="90" s="1641" customFormat="1" ht="11.5" customHeight="1">
      <c r="A90" s="987"/>
      <c r="B90" s="1636"/>
      <c r="C90" s="1636"/>
      <c r="D90" s="351"/>
      <c r="J90" s="1641"/>
      <c r="L90" s="1160"/>
      <c r="M90" s="1636"/>
      <c r="N90" s="1636"/>
      <c r="O90" s="1160"/>
      <c r="P90" s="1160"/>
      <c r="Q90" s="1160"/>
      <c r="R90" s="1160"/>
      <c r="S90" s="1636"/>
      <c r="T90" s="1160"/>
      <c r="U90" s="1160"/>
      <c r="V90" s="544"/>
      <c r="W90" s="1160"/>
      <c r="X90" s="1160"/>
      <c r="Y90" s="1160"/>
      <c r="Z90" s="1160"/>
      <c r="AA90" s="1160"/>
      <c r="AB90" s="1632"/>
      <c r="AC90" s="566"/>
      <c r="AD90" s="566"/>
      <c r="AE90" s="566"/>
      <c r="AF90" s="566"/>
      <c r="AG90" s="1641">
        <v>11</v>
      </c>
    </row>
    <row r="91" s="1641" customFormat="1" ht="11.5" customHeight="1">
      <c r="A91" s="987"/>
      <c r="B91" s="1636"/>
      <c r="C91" s="1636"/>
      <c r="D91" s="351"/>
      <c r="J91" s="1641"/>
      <c r="L91" s="1160"/>
      <c r="M91" s="1636"/>
      <c r="N91" s="1636"/>
      <c r="O91" s="1160"/>
      <c r="P91" s="1160"/>
      <c r="Q91" s="1160"/>
      <c r="R91" s="1160"/>
      <c r="S91" s="1636"/>
      <c r="T91" s="1160"/>
      <c r="U91" s="1160"/>
      <c r="V91" s="544"/>
      <c r="W91" s="1160"/>
      <c r="X91" s="1160"/>
      <c r="Y91" s="1160"/>
      <c r="Z91" s="1160"/>
      <c r="AA91" s="1160"/>
      <c r="AB91" s="1632"/>
      <c r="AC91" s="566"/>
      <c r="AD91" s="566"/>
      <c r="AE91" s="566"/>
      <c r="AF91" s="566"/>
      <c r="AG91" s="1641">
        <v>11</v>
      </c>
    </row>
    <row r="92" s="1641" customFormat="1" ht="11.5" customHeight="1">
      <c r="A92" s="987"/>
      <c r="B92" s="1636"/>
      <c r="C92" s="1636"/>
      <c r="D92" s="351"/>
      <c r="J92" s="1641"/>
      <c r="L92" s="1160"/>
      <c r="M92" s="1636"/>
      <c r="N92" s="1636"/>
      <c r="O92" s="1160"/>
      <c r="P92" s="1160"/>
      <c r="Q92" s="1160"/>
      <c r="R92" s="1160"/>
      <c r="S92" s="1636"/>
      <c r="T92" s="1160"/>
      <c r="U92" s="1160"/>
      <c r="V92" s="544"/>
      <c r="W92" s="1160"/>
      <c r="X92" s="1160"/>
      <c r="Y92" s="1160"/>
      <c r="Z92" s="1160"/>
      <c r="AA92" s="1160"/>
      <c r="AB92" s="1632"/>
      <c r="AC92" s="566"/>
      <c r="AD92" s="566"/>
      <c r="AE92" s="566"/>
      <c r="AF92" s="566"/>
      <c r="AG92" s="1641">
        <v>11</v>
      </c>
    </row>
    <row r="93" s="1641" customFormat="1" ht="11.5" customHeight="1">
      <c r="A93" s="987"/>
      <c r="B93" s="1636"/>
      <c r="C93" s="1636"/>
      <c r="D93" s="351"/>
      <c r="J93" s="1641"/>
      <c r="L93" s="1160"/>
      <c r="M93" s="1636"/>
      <c r="N93" s="1636"/>
      <c r="O93" s="1160"/>
      <c r="P93" s="1160"/>
      <c r="Q93" s="1160"/>
      <c r="R93" s="1160"/>
      <c r="S93" s="1636"/>
      <c r="T93" s="1160"/>
      <c r="U93" s="1160"/>
      <c r="V93" s="544"/>
      <c r="W93" s="1160"/>
      <c r="X93" s="1160"/>
      <c r="Y93" s="1160"/>
      <c r="Z93" s="1160"/>
      <c r="AA93" s="1160"/>
      <c r="AB93" s="1632"/>
      <c r="AC93" s="566"/>
      <c r="AD93" s="566"/>
      <c r="AE93" s="566"/>
      <c r="AF93" s="566"/>
      <c r="AG93" s="1641">
        <v>11</v>
      </c>
    </row>
    <row r="94" s="1641" customFormat="1" ht="11.5" customHeight="1">
      <c r="A94" s="987"/>
      <c r="B94" s="1636"/>
      <c r="C94" s="1636"/>
      <c r="D94" s="351"/>
      <c r="J94" s="1641"/>
      <c r="L94" s="1160"/>
      <c r="M94" s="1636"/>
      <c r="N94" s="1636"/>
      <c r="O94" s="1160"/>
      <c r="P94" s="1160"/>
      <c r="Q94" s="1160"/>
      <c r="R94" s="1160"/>
      <c r="S94" s="1636"/>
      <c r="T94" s="1160"/>
      <c r="U94" s="1160"/>
      <c r="V94" s="544"/>
      <c r="W94" s="1160"/>
      <c r="X94" s="1160"/>
      <c r="Y94" s="1160"/>
      <c r="Z94" s="1160"/>
      <c r="AA94" s="1160"/>
      <c r="AB94" s="1632"/>
      <c r="AC94" s="566"/>
      <c r="AD94" s="566"/>
      <c r="AE94" s="566"/>
      <c r="AF94" s="566"/>
      <c r="AG94" s="1641">
        <v>11</v>
      </c>
    </row>
    <row r="95" s="1641" customFormat="1" ht="11.5" customHeight="1">
      <c r="A95" s="987"/>
      <c r="B95" s="1636"/>
      <c r="C95" s="1636"/>
      <c r="D95" s="351"/>
      <c r="J95" s="1641"/>
      <c r="L95" s="1160"/>
      <c r="M95" s="1636"/>
      <c r="N95" s="1636"/>
      <c r="O95" s="1160"/>
      <c r="P95" s="1160"/>
      <c r="Q95" s="1160"/>
      <c r="R95" s="1160"/>
      <c r="S95" s="1636"/>
      <c r="T95" s="1160"/>
      <c r="U95" s="1160"/>
      <c r="V95" s="544"/>
      <c r="W95" s="1160"/>
      <c r="X95" s="1160"/>
      <c r="Y95" s="1160"/>
      <c r="Z95" s="1160"/>
      <c r="AA95" s="1160"/>
      <c r="AB95" s="1632"/>
      <c r="AC95" s="566"/>
      <c r="AD95" s="566"/>
      <c r="AE95" s="566"/>
      <c r="AF95" s="566"/>
      <c r="AG95" s="1641">
        <v>11</v>
      </c>
    </row>
    <row r="96" s="1641" customFormat="1" ht="11.5" customHeight="1">
      <c r="A96" s="987"/>
      <c r="B96" s="1636"/>
      <c r="C96" s="1636"/>
      <c r="D96" s="351"/>
      <c r="J96" s="1641"/>
      <c r="L96" s="1160"/>
      <c r="M96" s="1636"/>
      <c r="N96" s="1636"/>
      <c r="O96" s="1160"/>
      <c r="P96" s="1160"/>
      <c r="Q96" s="1160"/>
      <c r="R96" s="1160"/>
      <c r="S96" s="1636"/>
      <c r="T96" s="1160"/>
      <c r="U96" s="1160"/>
      <c r="V96" s="544"/>
      <c r="W96" s="1160"/>
      <c r="X96" s="1160"/>
      <c r="Y96" s="1160"/>
      <c r="Z96" s="1160"/>
      <c r="AA96" s="1160"/>
      <c r="AB96" s="1632"/>
      <c r="AC96" s="566"/>
      <c r="AD96" s="566"/>
      <c r="AE96" s="566"/>
      <c r="AF96" s="566"/>
      <c r="AG96" s="1641">
        <v>11</v>
      </c>
    </row>
    <row r="97" s="1641" customFormat="1" ht="11.5" customHeight="1">
      <c r="A97" s="987"/>
      <c r="B97" s="1636"/>
      <c r="C97" s="1636"/>
      <c r="D97" s="351"/>
      <c r="J97" s="1641"/>
      <c r="L97" s="1160"/>
      <c r="M97" s="1636"/>
      <c r="N97" s="1636"/>
      <c r="O97" s="1160"/>
      <c r="P97" s="1160"/>
      <c r="Q97" s="1160"/>
      <c r="R97" s="1160"/>
      <c r="S97" s="1636"/>
      <c r="T97" s="1160"/>
      <c r="U97" s="1160"/>
      <c r="V97" s="544"/>
      <c r="W97" s="1160"/>
      <c r="X97" s="1160"/>
      <c r="Y97" s="1160"/>
      <c r="Z97" s="1160"/>
      <c r="AA97" s="1160"/>
      <c r="AB97" s="1632"/>
      <c r="AC97" s="566"/>
      <c r="AD97" s="566"/>
      <c r="AE97" s="566"/>
      <c r="AF97" s="566"/>
      <c r="AG97" s="1641">
        <v>11</v>
      </c>
    </row>
    <row r="98" s="1641" customFormat="1" ht="11.5" customHeight="1">
      <c r="A98" s="987"/>
      <c r="B98" s="1636"/>
      <c r="C98" s="1636"/>
      <c r="D98" s="351"/>
      <c r="J98" s="1641"/>
      <c r="L98" s="1160"/>
      <c r="M98" s="1636"/>
      <c r="N98" s="1636"/>
      <c r="O98" s="1160"/>
      <c r="P98" s="1160"/>
      <c r="Q98" s="1160"/>
      <c r="R98" s="1160"/>
      <c r="S98" s="1636"/>
      <c r="T98" s="1160"/>
      <c r="U98" s="1160"/>
      <c r="V98" s="544"/>
      <c r="W98" s="1160"/>
      <c r="X98" s="1160"/>
      <c r="Y98" s="1160"/>
      <c r="Z98" s="1160"/>
      <c r="AA98" s="1160"/>
      <c r="AB98" s="1632"/>
      <c r="AC98" s="566"/>
      <c r="AD98" s="566"/>
      <c r="AE98" s="566"/>
      <c r="AF98" s="566"/>
      <c r="AG98" s="1641">
        <v>11</v>
      </c>
    </row>
    <row r="99" s="1641" customFormat="1" ht="11.5" customHeight="1">
      <c r="A99" s="987"/>
      <c r="B99" s="1636"/>
      <c r="C99" s="1636"/>
      <c r="D99" s="351"/>
      <c r="J99" s="1641"/>
      <c r="L99" s="1160"/>
      <c r="M99" s="1636"/>
      <c r="N99" s="1636"/>
      <c r="O99" s="1160"/>
      <c r="P99" s="1160"/>
      <c r="Q99" s="1160"/>
      <c r="R99" s="1160"/>
      <c r="S99" s="1636"/>
      <c r="T99" s="1160"/>
      <c r="U99" s="1160"/>
      <c r="V99" s="544"/>
      <c r="W99" s="1160"/>
      <c r="X99" s="1160"/>
      <c r="Y99" s="1160"/>
      <c r="Z99" s="1160"/>
      <c r="AA99" s="1160"/>
      <c r="AB99" s="1632"/>
      <c r="AC99" s="566"/>
      <c r="AD99" s="566"/>
      <c r="AE99" s="566"/>
      <c r="AF99" s="566"/>
      <c r="AG99" s="1641">
        <v>11</v>
      </c>
    </row>
    <row r="100" s="1641" customFormat="1" ht="11.5" customHeight="1">
      <c r="A100" s="987"/>
      <c r="B100" s="1636"/>
      <c r="C100" s="1636"/>
      <c r="D100" s="351"/>
      <c r="J100" s="1641"/>
      <c r="L100" s="1160"/>
      <c r="M100" s="1636"/>
      <c r="N100" s="1636"/>
      <c r="O100" s="1160"/>
      <c r="P100" s="1160"/>
      <c r="Q100" s="1160"/>
      <c r="R100" s="1160"/>
      <c r="S100" s="1636"/>
      <c r="T100" s="1160"/>
      <c r="U100" s="1160"/>
      <c r="V100" s="544"/>
      <c r="W100" s="1160"/>
      <c r="X100" s="1160"/>
      <c r="Y100" s="1160"/>
      <c r="Z100" s="1160"/>
      <c r="AA100" s="1160"/>
      <c r="AB100" s="1632"/>
      <c r="AC100" s="566"/>
      <c r="AD100" s="566"/>
      <c r="AE100" s="566"/>
      <c r="AF100" s="566"/>
      <c r="AG100" s="1641">
        <v>11</v>
      </c>
    </row>
    <row r="101" s="1641" customFormat="1" ht="11.5" customHeight="1">
      <c r="A101" s="987"/>
      <c r="B101" s="1636"/>
      <c r="C101" s="1636"/>
      <c r="D101" s="351"/>
      <c r="J101" s="1641"/>
      <c r="L101" s="1160"/>
      <c r="M101" s="1636"/>
      <c r="N101" s="1636"/>
      <c r="O101" s="1160"/>
      <c r="P101" s="1160"/>
      <c r="Q101" s="1160"/>
      <c r="R101" s="1160"/>
      <c r="S101" s="1636"/>
      <c r="T101" s="1160"/>
      <c r="U101" s="1160"/>
      <c r="V101" s="544"/>
      <c r="W101" s="1160"/>
      <c r="X101" s="1160"/>
      <c r="Y101" s="1160"/>
      <c r="Z101" s="1160"/>
      <c r="AA101" s="1160"/>
      <c r="AB101" s="1632"/>
      <c r="AC101" s="566"/>
      <c r="AD101" s="566"/>
      <c r="AE101" s="566"/>
      <c r="AF101" s="566"/>
      <c r="AG101" s="1641">
        <v>11</v>
      </c>
    </row>
    <row r="102" s="1641" customFormat="1" ht="11.5" customHeight="1">
      <c r="A102" s="987"/>
      <c r="B102" s="1636"/>
      <c r="C102" s="1636"/>
      <c r="D102" s="351"/>
      <c r="J102" s="1641"/>
      <c r="L102" s="1160"/>
      <c r="M102" s="1636"/>
      <c r="N102" s="1636"/>
      <c r="O102" s="1160"/>
      <c r="P102" s="1160"/>
      <c r="Q102" s="1160"/>
      <c r="R102" s="1160"/>
      <c r="S102" s="1636"/>
      <c r="T102" s="1160"/>
      <c r="U102" s="1160"/>
      <c r="V102" s="544"/>
      <c r="W102" s="1160"/>
      <c r="X102" s="1160"/>
      <c r="Y102" s="1160"/>
      <c r="Z102" s="1160"/>
      <c r="AA102" s="1160"/>
      <c r="AB102" s="1632"/>
      <c r="AC102" s="566"/>
      <c r="AD102" s="566"/>
      <c r="AE102" s="566"/>
      <c r="AF102" s="566"/>
      <c r="AG102" s="1641">
        <v>11</v>
      </c>
    </row>
    <row r="103" s="1641" customFormat="1" ht="11.5" customHeight="1">
      <c r="A103" s="987"/>
      <c r="B103" s="1636"/>
      <c r="C103" s="1636"/>
      <c r="D103" s="351"/>
      <c r="J103" s="1641"/>
      <c r="L103" s="1160"/>
      <c r="M103" s="1636"/>
      <c r="N103" s="1636"/>
      <c r="O103" s="1160"/>
      <c r="P103" s="1160"/>
      <c r="Q103" s="1160"/>
      <c r="R103" s="1160"/>
      <c r="S103" s="1636"/>
      <c r="T103" s="1160"/>
      <c r="U103" s="1160"/>
      <c r="V103" s="544"/>
      <c r="W103" s="1160"/>
      <c r="X103" s="1160"/>
      <c r="Y103" s="1160"/>
      <c r="Z103" s="1160"/>
      <c r="AA103" s="1160"/>
      <c r="AB103" s="1632"/>
      <c r="AC103" s="566"/>
      <c r="AD103" s="566"/>
      <c r="AE103" s="566"/>
      <c r="AF103" s="566"/>
      <c r="AG103" s="1641">
        <v>11</v>
      </c>
    </row>
    <row r="104" s="1641" customFormat="1" ht="11.5" customHeight="1">
      <c r="A104" s="987"/>
      <c r="B104" s="1636"/>
      <c r="C104" s="1636"/>
      <c r="D104" s="351"/>
      <c r="J104" s="1641"/>
      <c r="L104" s="1160"/>
      <c r="M104" s="1636"/>
      <c r="N104" s="1636"/>
      <c r="O104" s="1160"/>
      <c r="P104" s="1160"/>
      <c r="Q104" s="1160"/>
      <c r="R104" s="1160"/>
      <c r="S104" s="1636"/>
      <c r="T104" s="1160"/>
      <c r="U104" s="1160"/>
      <c r="V104" s="544"/>
      <c r="W104" s="1160"/>
      <c r="X104" s="1160"/>
      <c r="Y104" s="1160"/>
      <c r="Z104" s="1160"/>
      <c r="AA104" s="1160"/>
      <c r="AB104" s="1632"/>
      <c r="AC104" s="566"/>
      <c r="AD104" s="566"/>
      <c r="AE104" s="566"/>
      <c r="AF104" s="566"/>
      <c r="AG104" s="1641">
        <v>11</v>
      </c>
    </row>
    <row r="105" s="1641" customFormat="1" ht="11.5" customHeight="1">
      <c r="A105" s="987"/>
      <c r="B105" s="1636"/>
      <c r="C105" s="1636"/>
      <c r="D105" s="351"/>
      <c r="J105" s="1641"/>
      <c r="L105" s="1160"/>
      <c r="M105" s="1636"/>
      <c r="N105" s="1636"/>
      <c r="O105" s="1160"/>
      <c r="P105" s="1160"/>
      <c r="Q105" s="1160"/>
      <c r="R105" s="1160"/>
      <c r="S105" s="1636"/>
      <c r="T105" s="1160"/>
      <c r="U105" s="1160"/>
      <c r="V105" s="544"/>
      <c r="W105" s="1160"/>
      <c r="X105" s="1160"/>
      <c r="Y105" s="1160"/>
      <c r="Z105" s="1160"/>
      <c r="AA105" s="1160"/>
      <c r="AB105" s="1632"/>
      <c r="AC105" s="566"/>
      <c r="AD105" s="566"/>
      <c r="AE105" s="566"/>
      <c r="AF105" s="566"/>
      <c r="AG105" s="1641">
        <v>11</v>
      </c>
    </row>
    <row r="106" s="1641" customFormat="1" ht="11.5" customHeight="1">
      <c r="A106" s="987"/>
      <c r="B106" s="1636"/>
      <c r="C106" s="1636"/>
      <c r="D106" s="351"/>
      <c r="J106" s="1641"/>
      <c r="L106" s="1160"/>
      <c r="M106" s="1636"/>
      <c r="N106" s="1636"/>
      <c r="O106" s="1160"/>
      <c r="P106" s="1160"/>
      <c r="Q106" s="1160"/>
      <c r="R106" s="1160"/>
      <c r="S106" s="1636"/>
      <c r="T106" s="1160"/>
      <c r="U106" s="1160"/>
      <c r="V106" s="544"/>
      <c r="W106" s="1160"/>
      <c r="X106" s="1160"/>
      <c r="Y106" s="1160"/>
      <c r="Z106" s="1160"/>
      <c r="AA106" s="1160"/>
      <c r="AB106" s="1632"/>
      <c r="AC106" s="566"/>
      <c r="AD106" s="566"/>
      <c r="AE106" s="566"/>
      <c r="AF106" s="566"/>
      <c r="AG106" s="1641">
        <v>11</v>
      </c>
    </row>
    <row r="107" s="1641" customFormat="1" ht="11.5" customHeight="1">
      <c r="A107" s="987"/>
      <c r="B107" s="1636"/>
      <c r="C107" s="1636"/>
      <c r="D107" s="351"/>
      <c r="J107" s="1641"/>
      <c r="L107" s="1160"/>
      <c r="M107" s="1636"/>
      <c r="N107" s="1636"/>
      <c r="O107" s="1160"/>
      <c r="P107" s="1160"/>
      <c r="Q107" s="1160"/>
      <c r="R107" s="1160"/>
      <c r="S107" s="1636"/>
      <c r="T107" s="1160"/>
      <c r="U107" s="1160"/>
      <c r="V107" s="544"/>
      <c r="W107" s="1160"/>
      <c r="X107" s="1160"/>
      <c r="Y107" s="1160"/>
      <c r="Z107" s="1160"/>
      <c r="AA107" s="1160"/>
      <c r="AB107" s="1632"/>
      <c r="AC107" s="566"/>
      <c r="AD107" s="566"/>
      <c r="AE107" s="566"/>
      <c r="AF107" s="566"/>
      <c r="AG107" s="1641">
        <v>11</v>
      </c>
    </row>
    <row r="108" s="1641" customFormat="1" ht="11.5" customHeight="1">
      <c r="A108" s="987"/>
      <c r="B108" s="1636"/>
      <c r="C108" s="1636"/>
      <c r="D108" s="351"/>
      <c r="J108" s="1641"/>
      <c r="L108" s="1160"/>
      <c r="M108" s="1636"/>
      <c r="N108" s="1636"/>
      <c r="O108" s="1160"/>
      <c r="P108" s="1160"/>
      <c r="Q108" s="1160"/>
      <c r="R108" s="1160"/>
      <c r="S108" s="1636"/>
      <c r="T108" s="1160"/>
      <c r="U108" s="1160"/>
      <c r="V108" s="544"/>
      <c r="W108" s="1160"/>
      <c r="X108" s="1160"/>
      <c r="Y108" s="1160"/>
      <c r="Z108" s="1160"/>
      <c r="AA108" s="1160"/>
      <c r="AB108" s="1632"/>
      <c r="AC108" s="566"/>
      <c r="AD108" s="566"/>
      <c r="AE108" s="566"/>
      <c r="AF108" s="566"/>
      <c r="AG108" s="1641">
        <v>11</v>
      </c>
    </row>
    <row r="109" s="1641" customFormat="1" ht="11.5" customHeight="1">
      <c r="A109" s="987"/>
      <c r="B109" s="1636"/>
      <c r="C109" s="1636"/>
      <c r="D109" s="351"/>
      <c r="J109" s="1641"/>
      <c r="L109" s="1160"/>
      <c r="M109" s="1636"/>
      <c r="N109" s="1636"/>
      <c r="O109" s="1160"/>
      <c r="P109" s="1160"/>
      <c r="Q109" s="1160"/>
      <c r="R109" s="1160"/>
      <c r="S109" s="1636"/>
      <c r="T109" s="1160"/>
      <c r="U109" s="1160"/>
      <c r="V109" s="544"/>
      <c r="W109" s="1160"/>
      <c r="X109" s="1160"/>
      <c r="Y109" s="1160"/>
      <c r="Z109" s="1160"/>
      <c r="AA109" s="1160"/>
      <c r="AB109" s="1632"/>
      <c r="AC109" s="566"/>
      <c r="AD109" s="566"/>
      <c r="AE109" s="566"/>
      <c r="AF109" s="566"/>
      <c r="AG109" s="1641">
        <v>11</v>
      </c>
    </row>
    <row r="110" s="1641" customFormat="1" ht="11.5" customHeight="1">
      <c r="A110" s="987"/>
      <c r="B110" s="1636"/>
      <c r="C110" s="1636"/>
      <c r="D110" s="351"/>
      <c r="J110" s="1641"/>
      <c r="L110" s="1160"/>
      <c r="M110" s="1636"/>
      <c r="N110" s="1636"/>
      <c r="O110" s="1160"/>
      <c r="P110" s="1160"/>
      <c r="Q110" s="1160"/>
      <c r="R110" s="1160"/>
      <c r="S110" s="1636"/>
      <c r="T110" s="1160"/>
      <c r="U110" s="1160"/>
      <c r="V110" s="544"/>
      <c r="W110" s="1160"/>
      <c r="X110" s="1160"/>
      <c r="Y110" s="1160"/>
      <c r="Z110" s="1160"/>
      <c r="AA110" s="1160"/>
      <c r="AB110" s="1632"/>
      <c r="AC110" s="566"/>
      <c r="AD110" s="566"/>
      <c r="AE110" s="566"/>
      <c r="AF110" s="566"/>
      <c r="AG110" s="1641">
        <v>11</v>
      </c>
    </row>
    <row r="111" s="1641" customFormat="1" ht="11.5" customHeight="1">
      <c r="A111" s="987"/>
      <c r="B111" s="1636"/>
      <c r="C111" s="1636"/>
      <c r="D111" s="351"/>
      <c r="J111" s="1641"/>
      <c r="L111" s="1160"/>
      <c r="M111" s="1636"/>
      <c r="N111" s="1636"/>
      <c r="O111" s="1160"/>
      <c r="P111" s="1160"/>
      <c r="Q111" s="1160"/>
      <c r="R111" s="1160"/>
      <c r="S111" s="1636"/>
      <c r="T111" s="1160"/>
      <c r="U111" s="1160"/>
      <c r="V111" s="544"/>
      <c r="W111" s="1160"/>
      <c r="X111" s="1160"/>
      <c r="Y111" s="1160"/>
      <c r="Z111" s="1160"/>
      <c r="AA111" s="1160"/>
      <c r="AB111" s="1632"/>
      <c r="AC111" s="566"/>
      <c r="AD111" s="566"/>
      <c r="AE111" s="566"/>
      <c r="AF111" s="566"/>
      <c r="AG111" s="1641">
        <v>11</v>
      </c>
    </row>
    <row r="112" s="1641" customFormat="1" ht="11.5" customHeight="1">
      <c r="A112" s="987"/>
      <c r="B112" s="1636"/>
      <c r="C112" s="1636"/>
      <c r="D112" s="351"/>
      <c r="J112" s="1641"/>
      <c r="L112" s="1160"/>
      <c r="M112" s="1636"/>
      <c r="N112" s="1636"/>
      <c r="O112" s="1160"/>
      <c r="P112" s="1160"/>
      <c r="Q112" s="1160"/>
      <c r="R112" s="1160"/>
      <c r="S112" s="1636"/>
      <c r="T112" s="1160"/>
      <c r="U112" s="1160"/>
      <c r="V112" s="544"/>
      <c r="W112" s="1160"/>
      <c r="X112" s="1160"/>
      <c r="Y112" s="1160"/>
      <c r="Z112" s="1160"/>
      <c r="AA112" s="1160"/>
      <c r="AB112" s="1632"/>
      <c r="AC112" s="566"/>
      <c r="AD112" s="566"/>
      <c r="AE112" s="566"/>
      <c r="AF112" s="566"/>
      <c r="AG112" s="1641">
        <v>11</v>
      </c>
    </row>
    <row r="113" s="1641" customFormat="1" ht="11.5" customHeight="1">
      <c r="A113" s="987"/>
      <c r="B113" s="1636"/>
      <c r="C113" s="1636"/>
      <c r="D113" s="351"/>
      <c r="J113" s="1641"/>
      <c r="L113" s="1160"/>
      <c r="M113" s="1636"/>
      <c r="N113" s="1636"/>
      <c r="O113" s="1160"/>
      <c r="P113" s="1160"/>
      <c r="Q113" s="1160"/>
      <c r="R113" s="1160"/>
      <c r="S113" s="1636"/>
      <c r="T113" s="1160"/>
      <c r="U113" s="1160"/>
      <c r="V113" s="544"/>
      <c r="W113" s="1160"/>
      <c r="X113" s="1160"/>
      <c r="Y113" s="1160"/>
      <c r="Z113" s="1160"/>
      <c r="AA113" s="1160"/>
      <c r="AB113" s="1632"/>
      <c r="AC113" s="566"/>
      <c r="AD113" s="566"/>
      <c r="AE113" s="566"/>
      <c r="AF113" s="566"/>
      <c r="AG113" s="1641">
        <v>11</v>
      </c>
    </row>
    <row r="114" s="1641" customFormat="1" ht="11.5" customHeight="1">
      <c r="A114" s="987"/>
      <c r="B114" s="1636"/>
      <c r="C114" s="1636"/>
      <c r="D114" s="351"/>
      <c r="J114" s="1641"/>
      <c r="L114" s="1160"/>
      <c r="M114" s="1636"/>
      <c r="N114" s="1636"/>
      <c r="O114" s="1160"/>
      <c r="P114" s="1160"/>
      <c r="Q114" s="1160"/>
      <c r="R114" s="1160"/>
      <c r="S114" s="1636"/>
      <c r="T114" s="1160"/>
      <c r="U114" s="1160"/>
      <c r="V114" s="544"/>
      <c r="W114" s="1160"/>
      <c r="X114" s="1160"/>
      <c r="Y114" s="1160"/>
      <c r="Z114" s="1160"/>
      <c r="AA114" s="1160"/>
      <c r="AB114" s="1632"/>
      <c r="AC114" s="566"/>
      <c r="AD114" s="566"/>
      <c r="AE114" s="566"/>
      <c r="AF114" s="566"/>
      <c r="AG114" s="1641">
        <v>11</v>
      </c>
    </row>
    <row r="115" s="1641" customFormat="1" ht="11.5" customHeight="1">
      <c r="A115" s="987"/>
      <c r="B115" s="1636"/>
      <c r="C115" s="1636"/>
      <c r="D115" s="351"/>
      <c r="J115" s="1641"/>
      <c r="L115" s="1160"/>
      <c r="M115" s="1636"/>
      <c r="N115" s="1636"/>
      <c r="O115" s="1160"/>
      <c r="P115" s="1160"/>
      <c r="Q115" s="1160"/>
      <c r="R115" s="1160"/>
      <c r="S115" s="1636"/>
      <c r="T115" s="1160"/>
      <c r="U115" s="1160"/>
      <c r="V115" s="544"/>
      <c r="W115" s="1160"/>
      <c r="X115" s="1160"/>
      <c r="Y115" s="1160"/>
      <c r="Z115" s="1160"/>
      <c r="AA115" s="1160"/>
      <c r="AB115" s="1632"/>
      <c r="AC115" s="566"/>
      <c r="AD115" s="566"/>
      <c r="AE115" s="566"/>
      <c r="AF115" s="566"/>
      <c r="AG115" s="1641">
        <v>11</v>
      </c>
    </row>
    <row r="116" s="1641" customFormat="1" ht="11.5" customHeight="1">
      <c r="A116" s="987"/>
      <c r="B116" s="1636"/>
      <c r="C116" s="1636"/>
      <c r="D116" s="351"/>
      <c r="J116" s="1641"/>
      <c r="L116" s="1160"/>
      <c r="M116" s="1636"/>
      <c r="N116" s="1636"/>
      <c r="O116" s="1160"/>
      <c r="P116" s="1160"/>
      <c r="Q116" s="1160"/>
      <c r="R116" s="1160"/>
      <c r="S116" s="1636"/>
      <c r="T116" s="1160"/>
      <c r="U116" s="1160"/>
      <c r="V116" s="544"/>
      <c r="W116" s="1160"/>
      <c r="X116" s="1160"/>
      <c r="Y116" s="1160"/>
      <c r="Z116" s="1160"/>
      <c r="AA116" s="1160"/>
      <c r="AB116" s="1632"/>
      <c r="AC116" s="566"/>
      <c r="AD116" s="566"/>
      <c r="AE116" s="566"/>
      <c r="AF116" s="566"/>
      <c r="AG116" s="1641">
        <v>11</v>
      </c>
    </row>
    <row r="117" s="1641" customFormat="1" ht="11.5" customHeight="1">
      <c r="A117" s="987"/>
      <c r="B117" s="1636"/>
      <c r="C117" s="1636"/>
      <c r="D117" s="351"/>
      <c r="J117" s="1641"/>
      <c r="L117" s="1160"/>
      <c r="M117" s="1636"/>
      <c r="N117" s="1636"/>
      <c r="O117" s="1160"/>
      <c r="P117" s="1160"/>
      <c r="Q117" s="1160"/>
      <c r="R117" s="1160"/>
      <c r="S117" s="1636"/>
      <c r="T117" s="1160"/>
      <c r="U117" s="1160"/>
      <c r="V117" s="544"/>
      <c r="W117" s="1160"/>
      <c r="X117" s="1160"/>
      <c r="Y117" s="1160"/>
      <c r="Z117" s="1160"/>
      <c r="AA117" s="1160"/>
      <c r="AB117" s="1632"/>
      <c r="AC117" s="566"/>
      <c r="AD117" s="566"/>
      <c r="AE117" s="566"/>
      <c r="AF117" s="566"/>
      <c r="AG117" s="1641">
        <v>11</v>
      </c>
    </row>
    <row r="118" s="1641" customFormat="1" ht="11.5" customHeight="1">
      <c r="A118" s="987"/>
      <c r="B118" s="1636"/>
      <c r="C118" s="1636"/>
      <c r="D118" s="351"/>
      <c r="J118" s="1641"/>
      <c r="L118" s="1160"/>
      <c r="M118" s="1636"/>
      <c r="N118" s="1636"/>
      <c r="O118" s="1160"/>
      <c r="P118" s="1160"/>
      <c r="Q118" s="1160"/>
      <c r="R118" s="1160"/>
      <c r="S118" s="1636"/>
      <c r="T118" s="1160"/>
      <c r="U118" s="1160"/>
      <c r="V118" s="544"/>
      <c r="W118" s="1160"/>
      <c r="X118" s="1160"/>
      <c r="Y118" s="1160"/>
      <c r="Z118" s="1160"/>
      <c r="AA118" s="1160"/>
      <c r="AB118" s="1632"/>
      <c r="AC118" s="566"/>
      <c r="AD118" s="566"/>
      <c r="AE118" s="566"/>
      <c r="AF118" s="566"/>
      <c r="AG118" s="1641">
        <v>11</v>
      </c>
    </row>
    <row r="119" s="1641" customFormat="1" ht="11.5" customHeight="1">
      <c r="A119" s="987"/>
      <c r="B119" s="1636"/>
      <c r="C119" s="1636"/>
      <c r="D119" s="351"/>
      <c r="J119" s="1641"/>
      <c r="L119" s="1160"/>
      <c r="M119" s="1636"/>
      <c r="N119" s="1636"/>
      <c r="O119" s="1160"/>
      <c r="P119" s="1160"/>
      <c r="Q119" s="1160"/>
      <c r="R119" s="1160"/>
      <c r="S119" s="1636"/>
      <c r="T119" s="1160"/>
      <c r="U119" s="1160"/>
      <c r="V119" s="544"/>
      <c r="W119" s="1160"/>
      <c r="X119" s="1160"/>
      <c r="Y119" s="1160"/>
      <c r="Z119" s="1160"/>
      <c r="AA119" s="1160"/>
      <c r="AB119" s="1632"/>
      <c r="AC119" s="566"/>
      <c r="AD119" s="566"/>
      <c r="AE119" s="566"/>
      <c r="AF119" s="566"/>
      <c r="AG119" s="1641">
        <v>11</v>
      </c>
    </row>
    <row r="120" s="1641" customFormat="1" ht="11.5" customHeight="1">
      <c r="A120" s="987"/>
      <c r="B120" s="1636"/>
      <c r="C120" s="1636"/>
      <c r="D120" s="351"/>
      <c r="J120" s="1641"/>
      <c r="L120" s="1160"/>
      <c r="M120" s="1636"/>
      <c r="N120" s="1636"/>
      <c r="O120" s="1160"/>
      <c r="P120" s="1160"/>
      <c r="Q120" s="1160"/>
      <c r="R120" s="1160"/>
      <c r="S120" s="1636"/>
      <c r="T120" s="1160"/>
      <c r="U120" s="1160"/>
      <c r="V120" s="544"/>
      <c r="W120" s="1160"/>
      <c r="X120" s="1160"/>
      <c r="Y120" s="1160"/>
      <c r="Z120" s="1160"/>
      <c r="AA120" s="1160"/>
      <c r="AB120" s="1632"/>
      <c r="AC120" s="566"/>
      <c r="AD120" s="566"/>
      <c r="AE120" s="566"/>
      <c r="AF120" s="566"/>
      <c r="AG120" s="1641">
        <v>11</v>
      </c>
    </row>
    <row r="121" s="1641" customFormat="1" ht="11.5" customHeight="1">
      <c r="A121" s="987"/>
      <c r="B121" s="1636"/>
      <c r="C121" s="1636"/>
      <c r="D121" s="351"/>
      <c r="J121" s="1641"/>
      <c r="L121" s="1160"/>
      <c r="M121" s="1636"/>
      <c r="N121" s="1636"/>
      <c r="O121" s="1160"/>
      <c r="P121" s="1160"/>
      <c r="Q121" s="1160"/>
      <c r="R121" s="1160"/>
      <c r="S121" s="1636"/>
      <c r="T121" s="1160"/>
      <c r="U121" s="1160"/>
      <c r="V121" s="544"/>
      <c r="W121" s="1160"/>
      <c r="X121" s="1160"/>
      <c r="Y121" s="1160"/>
      <c r="Z121" s="1160"/>
      <c r="AA121" s="1160"/>
      <c r="AB121" s="1632"/>
      <c r="AC121" s="566"/>
      <c r="AD121" s="566"/>
      <c r="AE121" s="566"/>
      <c r="AF121" s="566"/>
      <c r="AG121" s="1641">
        <v>11</v>
      </c>
    </row>
    <row r="122" s="1641" customFormat="1" ht="11.5" customHeight="1">
      <c r="A122" s="987"/>
      <c r="B122" s="1636"/>
      <c r="C122" s="1636"/>
      <c r="D122" s="351"/>
      <c r="J122" s="1641"/>
      <c r="L122" s="1160"/>
      <c r="M122" s="1636"/>
      <c r="N122" s="1636"/>
      <c r="O122" s="1160"/>
      <c r="P122" s="1160"/>
      <c r="Q122" s="1160"/>
      <c r="R122" s="1160"/>
      <c r="S122" s="1636"/>
      <c r="T122" s="1160"/>
      <c r="U122" s="1160"/>
      <c r="V122" s="544"/>
      <c r="W122" s="1160"/>
      <c r="X122" s="1160"/>
      <c r="Y122" s="1160"/>
      <c r="Z122" s="1160"/>
      <c r="AA122" s="1160"/>
      <c r="AB122" s="1632"/>
      <c r="AC122" s="566"/>
      <c r="AD122" s="566"/>
      <c r="AE122" s="566"/>
      <c r="AF122" s="566"/>
      <c r="AG122" s="1641">
        <v>11</v>
      </c>
    </row>
    <row r="123" s="1641" customFormat="1" ht="11.5" customHeight="1">
      <c r="A123" s="987"/>
      <c r="B123" s="1636"/>
      <c r="C123" s="1636"/>
      <c r="D123" s="351"/>
      <c r="J123" s="1641"/>
      <c r="L123" s="1160"/>
      <c r="M123" s="1636"/>
      <c r="N123" s="1636"/>
      <c r="O123" s="1160"/>
      <c r="P123" s="1160"/>
      <c r="Q123" s="1160"/>
      <c r="R123" s="1160"/>
      <c r="S123" s="1636"/>
      <c r="T123" s="1160"/>
      <c r="U123" s="1160"/>
      <c r="V123" s="544"/>
      <c r="W123" s="1160"/>
      <c r="X123" s="1160"/>
      <c r="Y123" s="1160"/>
      <c r="Z123" s="1160"/>
      <c r="AA123" s="1160"/>
      <c r="AB123" s="1632"/>
      <c r="AC123" s="566"/>
      <c r="AD123" s="566"/>
      <c r="AE123" s="566"/>
      <c r="AF123" s="566"/>
      <c r="AG123" s="1641">
        <v>11</v>
      </c>
    </row>
    <row r="124" s="1641" customFormat="1" ht="11.5" customHeight="1">
      <c r="A124" s="987"/>
      <c r="B124" s="1636"/>
      <c r="C124" s="1636"/>
      <c r="D124" s="351"/>
      <c r="J124" s="1641"/>
      <c r="L124" s="1160"/>
      <c r="M124" s="1636"/>
      <c r="N124" s="1636"/>
      <c r="O124" s="1160"/>
      <c r="P124" s="1160"/>
      <c r="Q124" s="1160"/>
      <c r="R124" s="1160"/>
      <c r="S124" s="1636"/>
      <c r="T124" s="1160"/>
      <c r="U124" s="1160"/>
      <c r="V124" s="544"/>
      <c r="W124" s="1160"/>
      <c r="X124" s="1160"/>
      <c r="Y124" s="1160"/>
      <c r="Z124" s="1160"/>
      <c r="AA124" s="1160"/>
      <c r="AB124" s="1632"/>
      <c r="AC124" s="566"/>
      <c r="AD124" s="566"/>
      <c r="AE124" s="566"/>
      <c r="AF124" s="566"/>
      <c r="AG124" s="1641">
        <v>11</v>
      </c>
    </row>
    <row r="125" s="1641" customFormat="1" ht="11.5" customHeight="1">
      <c r="A125" s="987"/>
      <c r="B125" s="1636"/>
      <c r="C125" s="1636"/>
      <c r="D125" s="351"/>
      <c r="J125" s="1641"/>
      <c r="L125" s="1160"/>
      <c r="M125" s="1636"/>
      <c r="N125" s="1636"/>
      <c r="O125" s="1160"/>
      <c r="P125" s="1160"/>
      <c r="Q125" s="1160"/>
      <c r="R125" s="1160"/>
      <c r="S125" s="1636"/>
      <c r="T125" s="1160"/>
      <c r="U125" s="1160"/>
      <c r="V125" s="544"/>
      <c r="W125" s="1160"/>
      <c r="X125" s="1160"/>
      <c r="Y125" s="1160"/>
      <c r="Z125" s="1160"/>
      <c r="AA125" s="1160"/>
      <c r="AB125" s="1632"/>
      <c r="AC125" s="566"/>
      <c r="AD125" s="566"/>
      <c r="AE125" s="566"/>
      <c r="AF125" s="566"/>
      <c r="AG125" s="1641">
        <v>11</v>
      </c>
    </row>
    <row r="126" s="1641" customFormat="1" ht="11.5" customHeight="1">
      <c r="A126" s="987"/>
      <c r="B126" s="1636"/>
      <c r="C126" s="1636"/>
      <c r="D126" s="351"/>
      <c r="J126" s="1641"/>
      <c r="L126" s="1160"/>
      <c r="M126" s="1636"/>
      <c r="N126" s="1636"/>
      <c r="O126" s="1160"/>
      <c r="P126" s="1160"/>
      <c r="Q126" s="1160"/>
      <c r="R126" s="1160"/>
      <c r="S126" s="1636"/>
      <c r="T126" s="1160"/>
      <c r="U126" s="1160"/>
      <c r="V126" s="544"/>
      <c r="W126" s="1160"/>
      <c r="X126" s="1160"/>
      <c r="Y126" s="1160"/>
      <c r="Z126" s="1160"/>
      <c r="AA126" s="1160"/>
      <c r="AB126" s="1632"/>
      <c r="AC126" s="566"/>
      <c r="AD126" s="566"/>
      <c r="AE126" s="566"/>
      <c r="AF126" s="566"/>
      <c r="AG126" s="1641">
        <v>11</v>
      </c>
    </row>
    <row r="127" s="1641" customFormat="1" ht="11.5" customHeight="1">
      <c r="A127" s="987"/>
      <c r="B127" s="1636"/>
      <c r="C127" s="1636"/>
      <c r="D127" s="351"/>
      <c r="J127" s="1641"/>
      <c r="L127" s="1160"/>
      <c r="M127" s="1636"/>
      <c r="N127" s="1636"/>
      <c r="O127" s="1160"/>
      <c r="P127" s="1160"/>
      <c r="Q127" s="1160"/>
      <c r="R127" s="1160"/>
      <c r="S127" s="1636"/>
      <c r="T127" s="1160"/>
      <c r="U127" s="1160"/>
      <c r="V127" s="544"/>
      <c r="W127" s="1160"/>
      <c r="X127" s="1160"/>
      <c r="Y127" s="1160"/>
      <c r="Z127" s="1160"/>
      <c r="AA127" s="1160"/>
      <c r="AB127" s="1632"/>
      <c r="AC127" s="566"/>
      <c r="AD127" s="566"/>
      <c r="AE127" s="566"/>
      <c r="AF127" s="566"/>
      <c r="AG127" s="1641">
        <v>11</v>
      </c>
    </row>
    <row r="128" s="1641" customFormat="1" ht="11.5" customHeight="1">
      <c r="A128" s="987"/>
      <c r="B128" s="1636"/>
      <c r="C128" s="1636"/>
      <c r="D128" s="351"/>
      <c r="J128" s="1641"/>
      <c r="L128" s="1160"/>
      <c r="M128" s="1636"/>
      <c r="N128" s="1636"/>
      <c r="O128" s="1160"/>
      <c r="P128" s="1160"/>
      <c r="Q128" s="1160"/>
      <c r="R128" s="1160"/>
      <c r="S128" s="1636"/>
      <c r="T128" s="1160"/>
      <c r="U128" s="1160"/>
      <c r="V128" s="544"/>
      <c r="W128" s="1160"/>
      <c r="X128" s="1160"/>
      <c r="Y128" s="1160"/>
      <c r="Z128" s="1160"/>
      <c r="AA128" s="1160"/>
      <c r="AB128" s="1632"/>
      <c r="AC128" s="566"/>
      <c r="AD128" s="566"/>
      <c r="AE128" s="566"/>
      <c r="AF128" s="566"/>
      <c r="AG128" s="1641">
        <v>11</v>
      </c>
    </row>
    <row r="129" s="1641" customFormat="1" ht="11.5" customHeight="1">
      <c r="A129" s="987"/>
      <c r="B129" s="1636"/>
      <c r="C129" s="1636"/>
      <c r="D129" s="351"/>
      <c r="J129" s="1641"/>
      <c r="L129" s="1160"/>
      <c r="M129" s="1636"/>
      <c r="N129" s="1636"/>
      <c r="O129" s="1160"/>
      <c r="P129" s="1160"/>
      <c r="Q129" s="1160"/>
      <c r="R129" s="1160"/>
      <c r="S129" s="1636"/>
      <c r="T129" s="1160"/>
      <c r="U129" s="1160"/>
      <c r="V129" s="544"/>
      <c r="W129" s="1160"/>
      <c r="X129" s="1160"/>
      <c r="Y129" s="1160"/>
      <c r="Z129" s="1160"/>
      <c r="AA129" s="1160"/>
      <c r="AB129" s="1632"/>
      <c r="AC129" s="566"/>
      <c r="AD129" s="566"/>
      <c r="AE129" s="566"/>
      <c r="AF129" s="566"/>
      <c r="AG129" s="1641">
        <v>11</v>
      </c>
    </row>
    <row r="130" s="1641" customFormat="1" ht="11.5" customHeight="1">
      <c r="A130" s="987"/>
      <c r="B130" s="1636"/>
      <c r="C130" s="1636"/>
      <c r="D130" s="351"/>
      <c r="J130" s="1641"/>
      <c r="L130" s="1160"/>
      <c r="M130" s="1636"/>
      <c r="N130" s="1636"/>
      <c r="O130" s="1160"/>
      <c r="P130" s="1160"/>
      <c r="Q130" s="1160"/>
      <c r="R130" s="1160"/>
      <c r="S130" s="1636"/>
      <c r="T130" s="1160"/>
      <c r="U130" s="1160"/>
      <c r="V130" s="544"/>
      <c r="W130" s="1160"/>
      <c r="X130" s="1160"/>
      <c r="Y130" s="1160"/>
      <c r="Z130" s="1160"/>
      <c r="AA130" s="1160"/>
      <c r="AB130" s="1632"/>
      <c r="AC130" s="566"/>
      <c r="AD130" s="566"/>
      <c r="AE130" s="566"/>
      <c r="AF130" s="566"/>
      <c r="AG130" s="1641">
        <v>11</v>
      </c>
    </row>
    <row r="131" s="1641" customFormat="1" ht="11.5" customHeight="1">
      <c r="A131" s="987"/>
      <c r="B131" s="1636"/>
      <c r="C131" s="1636"/>
      <c r="D131" s="351"/>
      <c r="J131" s="1641"/>
      <c r="L131" s="1160"/>
      <c r="M131" s="1636"/>
      <c r="N131" s="1636"/>
      <c r="O131" s="1160"/>
      <c r="P131" s="1160"/>
      <c r="Q131" s="1160"/>
      <c r="R131" s="1160"/>
      <c r="S131" s="1636"/>
      <c r="T131" s="1160"/>
      <c r="U131" s="1160"/>
      <c r="V131" s="544"/>
      <c r="W131" s="1160"/>
      <c r="X131" s="1160"/>
      <c r="Y131" s="1160"/>
      <c r="Z131" s="1160"/>
      <c r="AA131" s="1160"/>
      <c r="AB131" s="1632"/>
      <c r="AC131" s="566"/>
      <c r="AD131" s="566"/>
      <c r="AE131" s="566"/>
      <c r="AF131" s="566"/>
      <c r="AG131" s="1641">
        <v>11</v>
      </c>
    </row>
    <row r="132" s="1641" customFormat="1" ht="11.5" customHeight="1">
      <c r="A132" s="987"/>
      <c r="B132" s="1636"/>
      <c r="C132" s="1636"/>
      <c r="D132" s="351"/>
      <c r="J132" s="1641"/>
      <c r="L132" s="1160"/>
      <c r="M132" s="1636"/>
      <c r="N132" s="1636"/>
      <c r="O132" s="1160"/>
      <c r="P132" s="1160"/>
      <c r="Q132" s="1160"/>
      <c r="R132" s="1160"/>
      <c r="S132" s="1636"/>
      <c r="T132" s="1160"/>
      <c r="U132" s="1160"/>
      <c r="V132" s="544"/>
      <c r="W132" s="1160"/>
      <c r="X132" s="1160"/>
      <c r="Y132" s="1160"/>
      <c r="Z132" s="1160"/>
      <c r="AA132" s="1160"/>
      <c r="AB132" s="1632"/>
      <c r="AC132" s="566"/>
      <c r="AD132" s="566"/>
      <c r="AE132" s="566"/>
      <c r="AF132" s="566"/>
      <c r="AG132" s="1641">
        <v>11</v>
      </c>
    </row>
    <row r="133" s="1641" customFormat="1" ht="11.5" customHeight="1">
      <c r="A133" s="987"/>
      <c r="B133" s="1636"/>
      <c r="C133" s="1636"/>
      <c r="D133" s="351"/>
      <c r="J133" s="1641"/>
      <c r="L133" s="1160"/>
      <c r="M133" s="1636"/>
      <c r="N133" s="1636"/>
      <c r="O133" s="1160"/>
      <c r="P133" s="1160"/>
      <c r="Q133" s="1160"/>
      <c r="R133" s="1160"/>
      <c r="S133" s="1636"/>
      <c r="T133" s="1160"/>
      <c r="U133" s="1160"/>
      <c r="V133" s="544"/>
      <c r="W133" s="1160"/>
      <c r="X133" s="1160"/>
      <c r="Y133" s="1160"/>
      <c r="Z133" s="1160"/>
      <c r="AA133" s="1160"/>
      <c r="AB133" s="1632"/>
      <c r="AC133" s="566"/>
      <c r="AD133" s="566"/>
      <c r="AE133" s="566"/>
      <c r="AF133" s="566"/>
      <c r="AG133" s="1641">
        <v>11</v>
      </c>
    </row>
    <row r="134" s="1641" customFormat="1" ht="11.5" customHeight="1">
      <c r="A134" s="987"/>
      <c r="B134" s="1636"/>
      <c r="C134" s="1636"/>
      <c r="D134" s="351"/>
      <c r="J134" s="1641"/>
      <c r="L134" s="1160"/>
      <c r="M134" s="1636"/>
      <c r="N134" s="1636"/>
      <c r="O134" s="1160"/>
      <c r="P134" s="1160"/>
      <c r="Q134" s="1160"/>
      <c r="R134" s="1160"/>
      <c r="S134" s="1636"/>
      <c r="T134" s="1160"/>
      <c r="U134" s="1160"/>
      <c r="V134" s="544"/>
      <c r="W134" s="1160"/>
      <c r="X134" s="1160"/>
      <c r="Y134" s="1160"/>
      <c r="Z134" s="1160"/>
      <c r="AA134" s="1160"/>
      <c r="AB134" s="1632"/>
      <c r="AC134" s="566"/>
      <c r="AD134" s="566"/>
      <c r="AE134" s="566"/>
      <c r="AF134" s="566"/>
      <c r="AG134" s="1641">
        <v>11</v>
      </c>
    </row>
    <row r="135" s="1641" customFormat="1" ht="11.5" customHeight="1">
      <c r="A135" s="987"/>
      <c r="B135" s="1636"/>
      <c r="C135" s="1636"/>
      <c r="D135" s="351"/>
      <c r="J135" s="1641"/>
      <c r="L135" s="1160"/>
      <c r="M135" s="1636"/>
      <c r="N135" s="1636"/>
      <c r="O135" s="1160"/>
      <c r="P135" s="1160"/>
      <c r="Q135" s="1160"/>
      <c r="R135" s="1160"/>
      <c r="S135" s="1636"/>
      <c r="T135" s="1160"/>
      <c r="U135" s="1160"/>
      <c r="V135" s="544"/>
      <c r="W135" s="1160"/>
      <c r="X135" s="1160"/>
      <c r="Y135" s="1160"/>
      <c r="Z135" s="1160"/>
      <c r="AA135" s="1160"/>
      <c r="AB135" s="1632"/>
      <c r="AC135" s="566"/>
      <c r="AD135" s="566"/>
      <c r="AE135" s="566"/>
      <c r="AF135" s="566"/>
      <c r="AG135" s="1641">
        <v>11</v>
      </c>
    </row>
    <row r="136" s="1641" customFormat="1" ht="11.5" customHeight="1">
      <c r="A136" s="987"/>
      <c r="B136" s="1636"/>
      <c r="C136" s="1636"/>
      <c r="D136" s="351"/>
      <c r="J136" s="1641"/>
      <c r="L136" s="1160"/>
      <c r="M136" s="1636"/>
      <c r="N136" s="1636"/>
      <c r="O136" s="1160"/>
      <c r="P136" s="1160"/>
      <c r="Q136" s="1160"/>
      <c r="R136" s="1160"/>
      <c r="S136" s="1636"/>
      <c r="T136" s="1160"/>
      <c r="U136" s="1160"/>
      <c r="V136" s="544"/>
      <c r="W136" s="1160"/>
      <c r="X136" s="1160"/>
      <c r="Y136" s="1160"/>
      <c r="Z136" s="1160"/>
      <c r="AA136" s="1160"/>
      <c r="AB136" s="1632"/>
      <c r="AC136" s="566"/>
      <c r="AD136" s="566"/>
      <c r="AE136" s="566"/>
      <c r="AF136" s="566"/>
      <c r="AG136" s="1641">
        <v>11</v>
      </c>
    </row>
    <row r="137" s="1641" customFormat="1" ht="11.5" customHeight="1">
      <c r="A137" s="987"/>
      <c r="B137" s="1636"/>
      <c r="C137" s="1636"/>
      <c r="D137" s="351"/>
      <c r="J137" s="1641"/>
      <c r="L137" s="1160"/>
      <c r="M137" s="1636"/>
      <c r="N137" s="1636"/>
      <c r="O137" s="1160"/>
      <c r="P137" s="1160"/>
      <c r="Q137" s="1160"/>
      <c r="R137" s="1160"/>
      <c r="S137" s="1636"/>
      <c r="T137" s="1160"/>
      <c r="U137" s="1160"/>
      <c r="V137" s="544"/>
      <c r="W137" s="1160"/>
      <c r="X137" s="1160"/>
      <c r="Y137" s="1160"/>
      <c r="Z137" s="1160"/>
      <c r="AA137" s="1160"/>
      <c r="AB137" s="1632"/>
      <c r="AC137" s="566"/>
      <c r="AD137" s="566"/>
      <c r="AE137" s="566"/>
      <c r="AF137" s="566"/>
      <c r="AG137" s="1641">
        <v>11</v>
      </c>
    </row>
    <row r="138" s="1641" customFormat="1" ht="11.5" customHeight="1">
      <c r="A138" s="987"/>
      <c r="B138" s="1636"/>
      <c r="C138" s="1636"/>
      <c r="D138" s="351"/>
      <c r="J138" s="1641"/>
      <c r="L138" s="1160"/>
      <c r="M138" s="1636"/>
      <c r="N138" s="1636"/>
      <c r="O138" s="1160"/>
      <c r="P138" s="1160"/>
      <c r="Q138" s="1160"/>
      <c r="R138" s="1160"/>
      <c r="S138" s="1636"/>
      <c r="T138" s="1160"/>
      <c r="U138" s="1160"/>
      <c r="V138" s="544"/>
      <c r="W138" s="1160"/>
      <c r="X138" s="1160"/>
      <c r="Y138" s="1160"/>
      <c r="Z138" s="1160"/>
      <c r="AA138" s="1160"/>
      <c r="AB138" s="1632"/>
      <c r="AC138" s="566"/>
      <c r="AD138" s="566"/>
      <c r="AE138" s="566"/>
      <c r="AF138" s="566"/>
      <c r="AG138" s="1641">
        <v>11</v>
      </c>
    </row>
    <row r="139" s="1641" customFormat="1" ht="11.5" customHeight="1">
      <c r="A139" s="987"/>
      <c r="B139" s="1636"/>
      <c r="C139" s="1636"/>
      <c r="D139" s="351"/>
      <c r="J139" s="1641"/>
      <c r="L139" s="1160"/>
      <c r="M139" s="1636"/>
      <c r="N139" s="1636"/>
      <c r="O139" s="1160"/>
      <c r="P139" s="1160"/>
      <c r="Q139" s="1160"/>
      <c r="R139" s="1160"/>
      <c r="S139" s="1636"/>
      <c r="T139" s="1160"/>
      <c r="U139" s="1160"/>
      <c r="V139" s="544"/>
      <c r="W139" s="1160"/>
      <c r="X139" s="1160"/>
      <c r="Y139" s="1160"/>
      <c r="Z139" s="1160"/>
      <c r="AA139" s="1160"/>
      <c r="AB139" s="1632"/>
      <c r="AC139" s="566"/>
      <c r="AD139" s="566"/>
      <c r="AE139" s="566"/>
      <c r="AF139" s="566"/>
      <c r="AG139" s="1641">
        <v>11</v>
      </c>
    </row>
    <row r="140" s="1641" customFormat="1" ht="11.5" customHeight="1">
      <c r="A140" s="987"/>
      <c r="B140" s="1636"/>
      <c r="C140" s="1636"/>
      <c r="D140" s="351"/>
      <c r="J140" s="1641"/>
      <c r="L140" s="1160"/>
      <c r="M140" s="1636"/>
      <c r="N140" s="1636"/>
      <c r="O140" s="1160"/>
      <c r="P140" s="1160"/>
      <c r="Q140" s="1160"/>
      <c r="R140" s="1160"/>
      <c r="S140" s="1636"/>
      <c r="T140" s="1160"/>
      <c r="U140" s="1160"/>
      <c r="V140" s="544"/>
      <c r="W140" s="1160"/>
      <c r="X140" s="1160"/>
      <c r="Y140" s="1160"/>
      <c r="Z140" s="1160"/>
      <c r="AA140" s="1160"/>
      <c r="AB140" s="1632"/>
      <c r="AC140" s="566"/>
      <c r="AD140" s="566"/>
      <c r="AE140" s="566"/>
      <c r="AF140" s="566"/>
      <c r="AG140" s="1641">
        <v>11</v>
      </c>
    </row>
    <row r="141" s="1641" customFormat="1" ht="11.5" customHeight="1">
      <c r="A141" s="987"/>
      <c r="B141" s="1636"/>
      <c r="C141" s="1636"/>
      <c r="D141" s="351"/>
      <c r="J141" s="1641"/>
      <c r="L141" s="1160"/>
      <c r="M141" s="1636"/>
      <c r="N141" s="1636"/>
      <c r="O141" s="1160"/>
      <c r="P141" s="1160"/>
      <c r="Q141" s="1160"/>
      <c r="R141" s="1160"/>
      <c r="S141" s="1636"/>
      <c r="T141" s="1160"/>
      <c r="U141" s="1160"/>
      <c r="V141" s="544"/>
      <c r="W141" s="1160"/>
      <c r="X141" s="1160"/>
      <c r="Y141" s="1160"/>
      <c r="Z141" s="1160"/>
      <c r="AA141" s="1160"/>
      <c r="AB141" s="1632"/>
      <c r="AC141" s="566"/>
      <c r="AD141" s="566"/>
      <c r="AE141" s="566"/>
      <c r="AF141" s="566"/>
      <c r="AG141" s="1641">
        <v>11</v>
      </c>
    </row>
    <row r="142" s="1641" customFormat="1" ht="11.5" customHeight="1">
      <c r="A142" s="987"/>
      <c r="B142" s="1636"/>
      <c r="C142" s="1636"/>
      <c r="D142" s="351"/>
      <c r="J142" s="1641"/>
      <c r="L142" s="1160"/>
      <c r="M142" s="1636"/>
      <c r="N142" s="1636"/>
      <c r="O142" s="1160"/>
      <c r="P142" s="1160"/>
      <c r="Q142" s="1160"/>
      <c r="R142" s="1160"/>
      <c r="S142" s="1636"/>
      <c r="T142" s="1160"/>
      <c r="U142" s="1160"/>
      <c r="V142" s="544"/>
      <c r="W142" s="1160"/>
      <c r="X142" s="1160"/>
      <c r="Y142" s="1160"/>
      <c r="Z142" s="1160"/>
      <c r="AA142" s="1160"/>
      <c r="AB142" s="1632"/>
      <c r="AC142" s="566"/>
      <c r="AD142" s="566"/>
      <c r="AE142" s="566"/>
      <c r="AF142" s="566"/>
      <c r="AG142" s="1641">
        <v>11</v>
      </c>
    </row>
    <row r="143" s="1641" customFormat="1" ht="11.5" customHeight="1">
      <c r="A143" s="987"/>
      <c r="B143" s="1636"/>
      <c r="C143" s="1636"/>
      <c r="D143" s="351"/>
      <c r="J143" s="1641"/>
      <c r="L143" s="1160"/>
      <c r="M143" s="1636"/>
      <c r="N143" s="1636"/>
      <c r="O143" s="1160"/>
      <c r="P143" s="1160"/>
      <c r="Q143" s="1160"/>
      <c r="R143" s="1160"/>
      <c r="S143" s="1636"/>
      <c r="T143" s="1160"/>
      <c r="U143" s="1160"/>
      <c r="V143" s="544"/>
      <c r="W143" s="1160"/>
      <c r="X143" s="1160"/>
      <c r="Y143" s="1160"/>
      <c r="Z143" s="1160"/>
      <c r="AA143" s="1160"/>
      <c r="AB143" s="1632"/>
      <c r="AC143" s="566"/>
      <c r="AD143" s="566"/>
      <c r="AE143" s="566"/>
      <c r="AF143" s="566"/>
      <c r="AG143" s="1641">
        <v>11</v>
      </c>
    </row>
    <row r="144" s="1641" customFormat="1" ht="11.5" customHeight="1">
      <c r="A144" s="987"/>
      <c r="B144" s="1636"/>
      <c r="C144" s="1636"/>
      <c r="D144" s="351"/>
      <c r="J144" s="1641"/>
      <c r="L144" s="1160"/>
      <c r="M144" s="1636"/>
      <c r="N144" s="1636"/>
      <c r="O144" s="1160"/>
      <c r="P144" s="1160"/>
      <c r="Q144" s="1160"/>
      <c r="R144" s="1160"/>
      <c r="S144" s="1636"/>
      <c r="T144" s="1160"/>
      <c r="U144" s="1160"/>
      <c r="V144" s="544"/>
      <c r="W144" s="1160"/>
      <c r="X144" s="1160"/>
      <c r="Y144" s="1160"/>
      <c r="Z144" s="1160"/>
      <c r="AA144" s="1160"/>
      <c r="AB144" s="1632"/>
      <c r="AC144" s="566"/>
      <c r="AD144" s="566"/>
      <c r="AE144" s="566"/>
      <c r="AF144" s="566"/>
      <c r="AG144" s="1641">
        <v>11</v>
      </c>
    </row>
    <row r="145" s="1641" customFormat="1" ht="11.5" customHeight="1">
      <c r="A145" s="987"/>
      <c r="B145" s="1636"/>
      <c r="C145" s="1636"/>
      <c r="D145" s="351"/>
      <c r="J145" s="1641"/>
      <c r="L145" s="1160"/>
      <c r="M145" s="1636"/>
      <c r="N145" s="1636"/>
      <c r="O145" s="1160"/>
      <c r="P145" s="1160"/>
      <c r="Q145" s="1160"/>
      <c r="R145" s="1160"/>
      <c r="S145" s="1636"/>
      <c r="T145" s="1160"/>
      <c r="U145" s="1160"/>
      <c r="V145" s="544"/>
      <c r="W145" s="1160"/>
      <c r="X145" s="1160"/>
      <c r="Y145" s="1160"/>
      <c r="Z145" s="1160"/>
      <c r="AA145" s="1160"/>
      <c r="AB145" s="1632"/>
      <c r="AC145" s="566"/>
      <c r="AD145" s="566"/>
      <c r="AE145" s="566"/>
      <c r="AF145" s="566"/>
      <c r="AG145" s="1641">
        <v>11</v>
      </c>
    </row>
    <row r="146" s="1641" customFormat="1" ht="11.5" customHeight="1">
      <c r="A146" s="987"/>
      <c r="B146" s="1636"/>
      <c r="C146" s="1636"/>
      <c r="D146" s="351"/>
      <c r="J146" s="1641"/>
      <c r="L146" s="1160"/>
      <c r="M146" s="1636"/>
      <c r="N146" s="1636"/>
      <c r="O146" s="1160"/>
      <c r="P146" s="1160"/>
      <c r="Q146" s="1160"/>
      <c r="R146" s="1160"/>
      <c r="S146" s="1636"/>
      <c r="T146" s="1160"/>
      <c r="U146" s="1160"/>
      <c r="V146" s="544"/>
      <c r="W146" s="1160"/>
      <c r="X146" s="1160"/>
      <c r="Y146" s="1160"/>
      <c r="Z146" s="1160"/>
      <c r="AA146" s="1160"/>
      <c r="AB146" s="1632"/>
      <c r="AC146" s="566"/>
      <c r="AD146" s="566"/>
      <c r="AE146" s="566"/>
      <c r="AF146" s="566"/>
      <c r="AG146" s="1641">
        <v>11</v>
      </c>
    </row>
    <row r="147" s="1641" customFormat="1" ht="11.5" customHeight="1">
      <c r="A147" s="987"/>
      <c r="B147" s="1636"/>
      <c r="C147" s="1636"/>
      <c r="D147" s="351"/>
      <c r="J147" s="1641"/>
      <c r="L147" s="1160"/>
      <c r="M147" s="1636"/>
      <c r="N147" s="1636"/>
      <c r="O147" s="1160"/>
      <c r="P147" s="1160"/>
      <c r="Q147" s="1160"/>
      <c r="R147" s="1160"/>
      <c r="S147" s="1636"/>
      <c r="T147" s="1160"/>
      <c r="U147" s="1160"/>
      <c r="V147" s="544"/>
      <c r="W147" s="1160"/>
      <c r="X147" s="1160"/>
      <c r="Y147" s="1160"/>
      <c r="Z147" s="1160"/>
      <c r="AA147" s="1160"/>
      <c r="AB147" s="1632"/>
      <c r="AC147" s="566"/>
      <c r="AD147" s="566"/>
      <c r="AE147" s="566"/>
      <c r="AF147" s="566"/>
      <c r="AG147" s="1641">
        <v>11</v>
      </c>
    </row>
    <row r="148" s="1641" customFormat="1" ht="11.5" customHeight="1">
      <c r="A148" s="987"/>
      <c r="B148" s="1636"/>
      <c r="C148" s="1636"/>
      <c r="D148" s="351"/>
      <c r="J148" s="1641"/>
      <c r="L148" s="1160"/>
      <c r="M148" s="1636"/>
      <c r="N148" s="1636"/>
      <c r="O148" s="1160"/>
      <c r="P148" s="1160"/>
      <c r="Q148" s="1160"/>
      <c r="R148" s="1160"/>
      <c r="S148" s="1636"/>
      <c r="T148" s="1160"/>
      <c r="U148" s="1160"/>
      <c r="V148" s="544"/>
      <c r="W148" s="1160"/>
      <c r="X148" s="1160"/>
      <c r="Y148" s="1160"/>
      <c r="Z148" s="1160"/>
      <c r="AA148" s="1160"/>
      <c r="AB148" s="1632"/>
      <c r="AC148" s="566"/>
      <c r="AD148" s="566"/>
      <c r="AE148" s="566"/>
      <c r="AF148" s="566"/>
      <c r="AG148" s="1641">
        <v>11</v>
      </c>
    </row>
    <row r="149" s="1641" customFormat="1" ht="11.5" customHeight="1">
      <c r="A149" s="987"/>
      <c r="B149" s="1636"/>
      <c r="C149" s="1636"/>
      <c r="D149" s="351"/>
      <c r="J149" s="1641"/>
      <c r="L149" s="1160"/>
      <c r="M149" s="1636"/>
      <c r="N149" s="1636"/>
      <c r="O149" s="1160"/>
      <c r="P149" s="1160"/>
      <c r="Q149" s="1160"/>
      <c r="R149" s="1160"/>
      <c r="S149" s="1636"/>
      <c r="T149" s="1160"/>
      <c r="U149" s="1160"/>
      <c r="V149" s="544"/>
      <c r="W149" s="1160"/>
      <c r="X149" s="1160"/>
      <c r="Y149" s="1160"/>
      <c r="Z149" s="1160"/>
      <c r="AA149" s="1160"/>
      <c r="AB149" s="1632"/>
      <c r="AC149" s="566"/>
      <c r="AD149" s="566"/>
      <c r="AE149" s="566"/>
      <c r="AF149" s="566"/>
      <c r="AG149" s="1641">
        <v>11</v>
      </c>
    </row>
    <row r="150" s="1641" customFormat="1" ht="11.5" customHeight="1">
      <c r="A150" s="987"/>
      <c r="B150" s="1636"/>
      <c r="C150" s="1636"/>
      <c r="D150" s="351"/>
      <c r="J150" s="1641"/>
      <c r="L150" s="1160"/>
      <c r="M150" s="1636"/>
      <c r="N150" s="1636"/>
      <c r="O150" s="1160"/>
      <c r="P150" s="1160"/>
      <c r="Q150" s="1160"/>
      <c r="R150" s="1160"/>
      <c r="S150" s="1636"/>
      <c r="T150" s="1160"/>
      <c r="U150" s="1160"/>
      <c r="V150" s="544"/>
      <c r="W150" s="1160"/>
      <c r="X150" s="1160"/>
      <c r="Y150" s="1160"/>
      <c r="Z150" s="1160"/>
      <c r="AA150" s="1160"/>
      <c r="AB150" s="1632"/>
      <c r="AC150" s="566"/>
      <c r="AD150" s="566"/>
      <c r="AE150" s="566"/>
      <c r="AF150" s="566"/>
      <c r="AG150" s="1641">
        <v>11</v>
      </c>
    </row>
    <row r="151" s="1641" customFormat="1" ht="11.5" customHeight="1">
      <c r="A151" s="987"/>
      <c r="B151" s="1636"/>
      <c r="C151" s="1636"/>
      <c r="D151" s="351"/>
      <c r="J151" s="1641"/>
      <c r="L151" s="1160"/>
      <c r="M151" s="1636"/>
      <c r="N151" s="1636"/>
      <c r="O151" s="1160"/>
      <c r="P151" s="1160"/>
      <c r="Q151" s="1160"/>
      <c r="R151" s="1160"/>
      <c r="S151" s="1636"/>
      <c r="T151" s="1160"/>
      <c r="U151" s="1160"/>
      <c r="V151" s="544"/>
      <c r="W151" s="1160"/>
      <c r="X151" s="1160"/>
      <c r="Y151" s="1160"/>
      <c r="Z151" s="1160"/>
      <c r="AA151" s="1160"/>
      <c r="AB151" s="1632"/>
      <c r="AC151" s="566"/>
      <c r="AD151" s="566"/>
      <c r="AE151" s="566"/>
      <c r="AF151" s="566"/>
      <c r="AG151" s="1641">
        <v>11</v>
      </c>
    </row>
    <row r="152" s="1641" customFormat="1" ht="11.5" customHeight="1">
      <c r="A152" s="987"/>
      <c r="B152" s="1636"/>
      <c r="C152" s="1636"/>
      <c r="D152" s="351"/>
      <c r="J152" s="1641"/>
      <c r="L152" s="1160"/>
      <c r="M152" s="1636"/>
      <c r="N152" s="1636"/>
      <c r="O152" s="1160"/>
      <c r="P152" s="1160"/>
      <c r="Q152" s="1160"/>
      <c r="R152" s="1160"/>
      <c r="S152" s="1636"/>
      <c r="T152" s="1160"/>
      <c r="U152" s="1160"/>
      <c r="V152" s="544"/>
      <c r="W152" s="1160"/>
      <c r="X152" s="1160"/>
      <c r="Y152" s="1160"/>
      <c r="Z152" s="1160"/>
      <c r="AA152" s="1160"/>
      <c r="AB152" s="1632"/>
      <c r="AC152" s="566"/>
      <c r="AD152" s="566"/>
      <c r="AE152" s="566"/>
      <c r="AF152" s="566"/>
      <c r="AG152" s="1641">
        <v>11</v>
      </c>
    </row>
    <row r="153" s="1641" customFormat="1" ht="11.5" customHeight="1">
      <c r="A153" s="987"/>
      <c r="B153" s="1636"/>
      <c r="C153" s="1636"/>
      <c r="D153" s="351"/>
      <c r="J153" s="1641"/>
      <c r="L153" s="1160"/>
      <c r="M153" s="1636"/>
      <c r="N153" s="1636"/>
      <c r="O153" s="1160"/>
      <c r="P153" s="1160"/>
      <c r="Q153" s="1160"/>
      <c r="R153" s="1160"/>
      <c r="S153" s="1636"/>
      <c r="T153" s="1160"/>
      <c r="U153" s="1160"/>
      <c r="V153" s="544"/>
      <c r="W153" s="1160"/>
      <c r="X153" s="1160"/>
      <c r="Y153" s="1160"/>
      <c r="Z153" s="1160"/>
      <c r="AA153" s="1160"/>
      <c r="AB153" s="1632"/>
      <c r="AC153" s="566"/>
      <c r="AD153" s="566"/>
      <c r="AE153" s="566"/>
      <c r="AF153" s="566"/>
      <c r="AG153" s="1641">
        <v>11</v>
      </c>
    </row>
    <row r="154" s="1641" customFormat="1" ht="11.5" customHeight="1">
      <c r="A154" s="987"/>
      <c r="B154" s="1636"/>
      <c r="C154" s="1636"/>
      <c r="D154" s="351"/>
      <c r="J154" s="1641"/>
      <c r="L154" s="1160"/>
      <c r="M154" s="1636"/>
      <c r="N154" s="1636"/>
      <c r="O154" s="1160"/>
      <c r="P154" s="1160"/>
      <c r="Q154" s="1160"/>
      <c r="R154" s="1160"/>
      <c r="S154" s="1636"/>
      <c r="T154" s="1160"/>
      <c r="U154" s="1160"/>
      <c r="V154" s="544"/>
      <c r="W154" s="1160"/>
      <c r="X154" s="1160"/>
      <c r="Y154" s="1160"/>
      <c r="Z154" s="1160"/>
      <c r="AA154" s="1160"/>
      <c r="AB154" s="1632"/>
      <c r="AC154" s="566"/>
      <c r="AD154" s="566"/>
      <c r="AE154" s="566"/>
      <c r="AF154" s="566"/>
      <c r="AG154" s="1641">
        <v>11</v>
      </c>
    </row>
    <row r="155" s="1641" customFormat="1" ht="11.5" customHeight="1">
      <c r="A155" s="987"/>
      <c r="B155" s="1636"/>
      <c r="C155" s="1636"/>
      <c r="D155" s="351"/>
      <c r="J155" s="1641"/>
      <c r="L155" s="1160"/>
      <c r="M155" s="1636"/>
      <c r="N155" s="1636"/>
      <c r="O155" s="1160"/>
      <c r="P155" s="1160"/>
      <c r="Q155" s="1160"/>
      <c r="R155" s="1160"/>
      <c r="S155" s="1636"/>
      <c r="T155" s="1160"/>
      <c r="U155" s="1160"/>
      <c r="V155" s="544"/>
      <c r="W155" s="1160"/>
      <c r="X155" s="1160"/>
      <c r="Y155" s="1160"/>
      <c r="Z155" s="1160"/>
      <c r="AA155" s="1160"/>
      <c r="AB155" s="1632"/>
      <c r="AC155" s="566"/>
      <c r="AD155" s="566"/>
      <c r="AE155" s="566"/>
      <c r="AF155" s="566"/>
      <c r="AG155" s="1641">
        <v>11</v>
      </c>
    </row>
    <row r="156" s="1641" customFormat="1" ht="11.5" customHeight="1">
      <c r="A156" s="987"/>
      <c r="B156" s="1636"/>
      <c r="C156" s="1636"/>
      <c r="D156" s="351"/>
      <c r="J156" s="1641"/>
      <c r="L156" s="1160"/>
      <c r="M156" s="1636"/>
      <c r="N156" s="1636"/>
      <c r="O156" s="1160"/>
      <c r="P156" s="1160"/>
      <c r="Q156" s="1160"/>
      <c r="R156" s="1160"/>
      <c r="S156" s="1636"/>
      <c r="T156" s="1160"/>
      <c r="U156" s="1160"/>
      <c r="V156" s="544"/>
      <c r="W156" s="1160"/>
      <c r="X156" s="1160"/>
      <c r="Y156" s="1160"/>
      <c r="Z156" s="1160"/>
      <c r="AA156" s="1160"/>
      <c r="AB156" s="1632"/>
      <c r="AC156" s="566"/>
      <c r="AD156" s="566"/>
      <c r="AE156" s="566"/>
      <c r="AF156" s="566"/>
      <c r="AG156" s="1641">
        <v>11</v>
      </c>
    </row>
    <row r="157" s="1641" customFormat="1" ht="11.5" customHeight="1">
      <c r="A157" s="987"/>
      <c r="B157" s="1636"/>
      <c r="C157" s="1636"/>
      <c r="D157" s="351"/>
      <c r="J157" s="1641"/>
      <c r="L157" s="1160"/>
      <c r="M157" s="1636"/>
      <c r="N157" s="1636"/>
      <c r="O157" s="1160"/>
      <c r="P157" s="1160"/>
      <c r="Q157" s="1160"/>
      <c r="R157" s="1160"/>
      <c r="S157" s="1636"/>
      <c r="T157" s="1160"/>
      <c r="U157" s="1160"/>
      <c r="V157" s="544"/>
      <c r="W157" s="1160"/>
      <c r="X157" s="1160"/>
      <c r="Y157" s="1160"/>
      <c r="Z157" s="1160"/>
      <c r="AA157" s="1160"/>
      <c r="AB157" s="1632"/>
      <c r="AC157" s="566"/>
      <c r="AD157" s="566"/>
      <c r="AE157" s="566"/>
      <c r="AF157" s="566"/>
      <c r="AG157" s="1641">
        <v>11</v>
      </c>
    </row>
    <row r="158" s="1641" customFormat="1" ht="11.5" customHeight="1">
      <c r="A158" s="987"/>
      <c r="B158" s="1636"/>
      <c r="C158" s="1636"/>
      <c r="D158" s="351"/>
      <c r="J158" s="1641"/>
      <c r="L158" s="1160"/>
      <c r="M158" s="1636"/>
      <c r="N158" s="1636"/>
      <c r="O158" s="1160"/>
      <c r="P158" s="1160"/>
      <c r="Q158" s="1160"/>
      <c r="R158" s="1160"/>
      <c r="S158" s="1636"/>
      <c r="T158" s="1160"/>
      <c r="U158" s="1160"/>
      <c r="V158" s="544"/>
      <c r="W158" s="1160"/>
      <c r="X158" s="1160"/>
      <c r="Y158" s="1160"/>
      <c r="Z158" s="1160"/>
      <c r="AA158" s="1160"/>
      <c r="AB158" s="1632"/>
      <c r="AC158" s="566"/>
      <c r="AD158" s="566"/>
      <c r="AE158" s="566"/>
      <c r="AF158" s="566"/>
      <c r="AG158" s="1641">
        <v>11</v>
      </c>
    </row>
    <row r="159" s="1641" customFormat="1" ht="11.5" customHeight="1">
      <c r="A159" s="987"/>
      <c r="B159" s="1636"/>
      <c r="C159" s="1636"/>
      <c r="D159" s="351"/>
      <c r="J159" s="1641"/>
      <c r="L159" s="1160"/>
      <c r="M159" s="1636"/>
      <c r="N159" s="1636"/>
      <c r="O159" s="1160"/>
      <c r="P159" s="1160"/>
      <c r="Q159" s="1160"/>
      <c r="R159" s="1160"/>
      <c r="S159" s="1636"/>
      <c r="T159" s="1160"/>
      <c r="U159" s="1160"/>
      <c r="V159" s="544"/>
      <c r="W159" s="1160"/>
      <c r="X159" s="1160"/>
      <c r="Y159" s="1160"/>
      <c r="Z159" s="1160"/>
      <c r="AA159" s="1160"/>
      <c r="AB159" s="1632"/>
      <c r="AC159" s="566"/>
      <c r="AD159" s="566"/>
      <c r="AE159" s="566"/>
      <c r="AF159" s="566"/>
      <c r="AG159" s="1641">
        <v>11</v>
      </c>
    </row>
    <row r="160" s="1641" customFormat="1" ht="11.5" customHeight="1">
      <c r="A160" s="987"/>
      <c r="B160" s="1636"/>
      <c r="C160" s="1636"/>
      <c r="D160" s="351"/>
      <c r="J160" s="1641"/>
      <c r="L160" s="1160"/>
      <c r="M160" s="1636"/>
      <c r="N160" s="1636"/>
      <c r="O160" s="1160"/>
      <c r="P160" s="1160"/>
      <c r="Q160" s="1160"/>
      <c r="R160" s="1160"/>
      <c r="S160" s="1636"/>
      <c r="T160" s="1160"/>
      <c r="U160" s="1160"/>
      <c r="V160" s="544"/>
      <c r="W160" s="1160"/>
      <c r="X160" s="1160"/>
      <c r="Y160" s="1160"/>
      <c r="Z160" s="1160"/>
      <c r="AA160" s="1160"/>
      <c r="AB160" s="1632"/>
      <c r="AC160" s="566"/>
      <c r="AD160" s="566"/>
      <c r="AE160" s="566"/>
      <c r="AF160" s="566"/>
      <c r="AG160" s="1641">
        <v>11</v>
      </c>
    </row>
    <row r="161" s="1641" customFormat="1" ht="11.5" customHeight="1">
      <c r="A161" s="987"/>
      <c r="B161" s="1636"/>
      <c r="C161" s="1636"/>
      <c r="D161" s="351"/>
      <c r="J161" s="1641"/>
      <c r="L161" s="1160"/>
      <c r="M161" s="1636"/>
      <c r="N161" s="1636"/>
      <c r="O161" s="1160"/>
      <c r="P161" s="1160"/>
      <c r="Q161" s="1160"/>
      <c r="R161" s="1160"/>
      <c r="S161" s="1636"/>
      <c r="T161" s="1160"/>
      <c r="U161" s="1160"/>
      <c r="V161" s="544"/>
      <c r="W161" s="1160"/>
      <c r="X161" s="1160"/>
      <c r="Y161" s="1160"/>
      <c r="Z161" s="1160"/>
      <c r="AA161" s="1160"/>
      <c r="AB161" s="1632"/>
      <c r="AC161" s="566"/>
      <c r="AD161" s="566"/>
      <c r="AE161" s="566"/>
      <c r="AF161" s="566"/>
      <c r="AG161" s="1641">
        <v>11</v>
      </c>
    </row>
    <row r="162" s="1641" customFormat="1" ht="11.5" customHeight="1">
      <c r="A162" s="987"/>
      <c r="B162" s="1636"/>
      <c r="C162" s="1636"/>
      <c r="D162" s="351"/>
      <c r="J162" s="1641"/>
      <c r="L162" s="1160"/>
      <c r="M162" s="1636"/>
      <c r="N162" s="1636"/>
      <c r="O162" s="1160"/>
      <c r="P162" s="1160"/>
      <c r="Q162" s="1160"/>
      <c r="R162" s="1160"/>
      <c r="S162" s="1636"/>
      <c r="T162" s="1160"/>
      <c r="U162" s="1160"/>
      <c r="V162" s="544"/>
      <c r="W162" s="1160"/>
      <c r="X162" s="1160"/>
      <c r="Y162" s="1160"/>
      <c r="Z162" s="1160"/>
      <c r="AA162" s="1160"/>
      <c r="AB162" s="1632"/>
      <c r="AC162" s="566"/>
      <c r="AD162" s="566"/>
      <c r="AE162" s="566"/>
      <c r="AF162" s="566"/>
      <c r="AG162" s="1641">
        <v>11</v>
      </c>
    </row>
    <row r="163" s="1641" customFormat="1" ht="11.5" customHeight="1">
      <c r="A163" s="987"/>
      <c r="B163" s="1636"/>
      <c r="C163" s="1636"/>
      <c r="D163" s="351"/>
      <c r="J163" s="1641"/>
      <c r="L163" s="1160"/>
      <c r="M163" s="1636"/>
      <c r="N163" s="1636"/>
      <c r="O163" s="1160"/>
      <c r="P163" s="1160"/>
      <c r="Q163" s="1160"/>
      <c r="R163" s="1160"/>
      <c r="S163" s="1636"/>
      <c r="T163" s="1160"/>
      <c r="U163" s="1160"/>
      <c r="V163" s="544"/>
      <c r="W163" s="1160"/>
      <c r="X163" s="1160"/>
      <c r="Y163" s="1160"/>
      <c r="Z163" s="1160"/>
      <c r="AA163" s="1160"/>
      <c r="AB163" s="1632"/>
      <c r="AC163" s="566"/>
      <c r="AD163" s="566"/>
      <c r="AE163" s="566"/>
      <c r="AF163" s="566"/>
      <c r="AG163" s="1641">
        <v>11</v>
      </c>
    </row>
    <row r="164" s="1641" customFormat="1" ht="11.5" customHeight="1">
      <c r="A164" s="987"/>
      <c r="B164" s="1636"/>
      <c r="C164" s="1636"/>
      <c r="D164" s="351"/>
      <c r="J164" s="1641"/>
      <c r="L164" s="1160"/>
      <c r="M164" s="1636"/>
      <c r="N164" s="1636"/>
      <c r="O164" s="1160"/>
      <c r="P164" s="1160"/>
      <c r="Q164" s="1160"/>
      <c r="R164" s="1160"/>
      <c r="S164" s="1636"/>
      <c r="T164" s="1160"/>
      <c r="U164" s="1160"/>
      <c r="V164" s="544"/>
      <c r="W164" s="1160"/>
      <c r="X164" s="1160"/>
      <c r="Y164" s="1160"/>
      <c r="Z164" s="1160"/>
      <c r="AA164" s="1160"/>
      <c r="AB164" s="1632"/>
      <c r="AC164" s="566"/>
      <c r="AD164" s="566"/>
      <c r="AE164" s="566"/>
      <c r="AF164" s="566"/>
      <c r="AG164" s="1641">
        <v>11</v>
      </c>
    </row>
    <row r="165" s="1641" customFormat="1" ht="11.5" customHeight="1">
      <c r="A165" s="987"/>
      <c r="B165" s="1636"/>
      <c r="C165" s="1636"/>
      <c r="D165" s="351"/>
      <c r="J165" s="1641"/>
      <c r="L165" s="1160"/>
      <c r="M165" s="1636"/>
      <c r="N165" s="1636"/>
      <c r="O165" s="1160"/>
      <c r="P165" s="1160"/>
      <c r="Q165" s="1160"/>
      <c r="R165" s="1160"/>
      <c r="S165" s="1636"/>
      <c r="T165" s="1160"/>
      <c r="U165" s="1160"/>
      <c r="V165" s="544"/>
      <c r="W165" s="1160"/>
      <c r="X165" s="1160"/>
      <c r="Y165" s="1160"/>
      <c r="Z165" s="1160"/>
      <c r="AA165" s="1160"/>
      <c r="AB165" s="1632"/>
      <c r="AC165" s="566"/>
      <c r="AD165" s="566"/>
      <c r="AE165" s="566"/>
      <c r="AF165" s="566"/>
      <c r="AG165" s="1641">
        <v>11</v>
      </c>
    </row>
    <row r="166" s="1641" customFormat="1" ht="11.5" customHeight="1">
      <c r="A166" s="987"/>
      <c r="B166" s="1636"/>
      <c r="C166" s="1636"/>
      <c r="D166" s="351"/>
      <c r="J166" s="1641"/>
      <c r="L166" s="1160"/>
      <c r="M166" s="1636"/>
      <c r="N166" s="1636"/>
      <c r="O166" s="1160"/>
      <c r="P166" s="1160"/>
      <c r="Q166" s="1160"/>
      <c r="R166" s="1160"/>
      <c r="S166" s="1636"/>
      <c r="T166" s="1160"/>
      <c r="U166" s="1160"/>
      <c r="V166" s="544"/>
      <c r="W166" s="1160"/>
      <c r="X166" s="1160"/>
      <c r="Y166" s="1160"/>
      <c r="Z166" s="1160"/>
      <c r="AA166" s="1160"/>
      <c r="AB166" s="1632"/>
      <c r="AC166" s="566"/>
      <c r="AD166" s="566"/>
      <c r="AE166" s="566"/>
      <c r="AF166" s="566"/>
      <c r="AG166" s="1641">
        <v>11</v>
      </c>
    </row>
    <row r="167" s="1641" customFormat="1" ht="11.5" customHeight="1">
      <c r="A167" s="987"/>
      <c r="B167" s="1636"/>
      <c r="C167" s="1636"/>
      <c r="D167" s="351"/>
      <c r="J167" s="1641"/>
      <c r="L167" s="1160"/>
      <c r="M167" s="1636"/>
      <c r="N167" s="1636"/>
      <c r="O167" s="1160"/>
      <c r="P167" s="1160"/>
      <c r="Q167" s="1160"/>
      <c r="R167" s="1160"/>
      <c r="S167" s="1636"/>
      <c r="T167" s="1160"/>
      <c r="U167" s="1160"/>
      <c r="V167" s="544"/>
      <c r="W167" s="1160"/>
      <c r="X167" s="1160"/>
      <c r="Y167" s="1160"/>
      <c r="Z167" s="1160"/>
      <c r="AA167" s="1160"/>
      <c r="AB167" s="1632"/>
      <c r="AC167" s="566"/>
      <c r="AD167" s="566"/>
      <c r="AE167" s="566"/>
      <c r="AF167" s="566"/>
      <c r="AG167" s="1641">
        <v>11</v>
      </c>
    </row>
    <row r="168" s="1641" customFormat="1" ht="11.5" customHeight="1">
      <c r="A168" s="987"/>
      <c r="B168" s="1636"/>
      <c r="C168" s="1636"/>
      <c r="D168" s="351"/>
      <c r="J168" s="1641"/>
      <c r="L168" s="1160"/>
      <c r="M168" s="1636"/>
      <c r="N168" s="1636"/>
      <c r="O168" s="1160"/>
      <c r="P168" s="1160"/>
      <c r="Q168" s="1160"/>
      <c r="R168" s="1160"/>
      <c r="S168" s="1636"/>
      <c r="T168" s="1160"/>
      <c r="U168" s="1160"/>
      <c r="V168" s="544"/>
      <c r="W168" s="1160"/>
      <c r="X168" s="1160"/>
      <c r="Y168" s="1160"/>
      <c r="Z168" s="1160"/>
      <c r="AA168" s="1160"/>
      <c r="AB168" s="1632"/>
      <c r="AC168" s="566"/>
      <c r="AD168" s="566"/>
      <c r="AE168" s="566"/>
      <c r="AF168" s="566"/>
      <c r="AG168" s="1641">
        <v>11</v>
      </c>
    </row>
    <row r="169" s="1641" customFormat="1" ht="11.5" customHeight="1">
      <c r="A169" s="987"/>
      <c r="B169" s="1636"/>
      <c r="C169" s="1636"/>
      <c r="D169" s="351"/>
      <c r="J169" s="1641"/>
      <c r="L169" s="1160"/>
      <c r="M169" s="1636"/>
      <c r="N169" s="1636"/>
      <c r="O169" s="1160"/>
      <c r="P169" s="1160"/>
      <c r="Q169" s="1160"/>
      <c r="R169" s="1160"/>
      <c r="S169" s="1636"/>
      <c r="T169" s="1160"/>
      <c r="U169" s="1160"/>
      <c r="V169" s="544"/>
      <c r="W169" s="1160"/>
      <c r="X169" s="1160"/>
      <c r="Y169" s="1160"/>
      <c r="Z169" s="1160"/>
      <c r="AA169" s="1160"/>
      <c r="AB169" s="1632"/>
      <c r="AC169" s="566"/>
      <c r="AD169" s="566"/>
      <c r="AE169" s="566"/>
      <c r="AF169" s="566"/>
      <c r="AG169" s="1641">
        <v>11</v>
      </c>
    </row>
    <row r="170" s="1641" customFormat="1" ht="11.5" customHeight="1">
      <c r="A170" s="987"/>
      <c r="B170" s="1636"/>
      <c r="C170" s="1636"/>
      <c r="D170" s="351"/>
      <c r="J170" s="1641"/>
      <c r="L170" s="1160"/>
      <c r="M170" s="1636"/>
      <c r="N170" s="1636"/>
      <c r="O170" s="1160"/>
      <c r="P170" s="1160"/>
      <c r="Q170" s="1160"/>
      <c r="R170" s="1160"/>
      <c r="S170" s="1636"/>
      <c r="T170" s="1160"/>
      <c r="U170" s="1160"/>
      <c r="V170" s="544"/>
      <c r="W170" s="1160"/>
      <c r="X170" s="1160"/>
      <c r="Y170" s="1160"/>
      <c r="Z170" s="1160"/>
      <c r="AA170" s="1160"/>
      <c r="AB170" s="1632"/>
      <c r="AC170" s="566"/>
      <c r="AD170" s="566"/>
      <c r="AE170" s="566"/>
      <c r="AF170" s="566"/>
      <c r="AG170" s="1641">
        <v>11</v>
      </c>
    </row>
    <row r="171" s="1641" customFormat="1" ht="11.5" customHeight="1">
      <c r="A171" s="987"/>
      <c r="B171" s="1636"/>
      <c r="C171" s="1636"/>
      <c r="D171" s="351"/>
      <c r="J171" s="1641"/>
      <c r="L171" s="1160"/>
      <c r="M171" s="1636"/>
      <c r="N171" s="1636"/>
      <c r="O171" s="1160"/>
      <c r="P171" s="1160"/>
      <c r="Q171" s="1160"/>
      <c r="R171" s="1160"/>
      <c r="S171" s="1636"/>
      <c r="T171" s="1160"/>
      <c r="U171" s="1160"/>
      <c r="V171" s="544"/>
      <c r="W171" s="1160"/>
      <c r="X171" s="1160"/>
      <c r="Y171" s="1160"/>
      <c r="Z171" s="1160"/>
      <c r="AA171" s="1160"/>
      <c r="AB171" s="1632"/>
      <c r="AC171" s="566"/>
      <c r="AD171" s="566"/>
      <c r="AE171" s="566"/>
      <c r="AF171" s="566"/>
      <c r="AG171" s="1641">
        <v>11</v>
      </c>
    </row>
    <row r="172" s="1641" customFormat="1" ht="11.5" customHeight="1">
      <c r="A172" s="987"/>
      <c r="B172" s="1636"/>
      <c r="C172" s="1636"/>
      <c r="D172" s="351"/>
      <c r="J172" s="1641"/>
      <c r="L172" s="1160"/>
      <c r="M172" s="1636"/>
      <c r="N172" s="1636"/>
      <c r="O172" s="1160"/>
      <c r="P172" s="1160"/>
      <c r="Q172" s="1160"/>
      <c r="R172" s="1160"/>
      <c r="S172" s="1636"/>
      <c r="T172" s="1160"/>
      <c r="U172" s="1160"/>
      <c r="V172" s="544"/>
      <c r="W172" s="1160"/>
      <c r="X172" s="1160"/>
      <c r="Y172" s="1160"/>
      <c r="Z172" s="1160"/>
      <c r="AA172" s="1160"/>
      <c r="AB172" s="1632"/>
      <c r="AC172" s="566"/>
      <c r="AD172" s="566"/>
      <c r="AE172" s="566"/>
      <c r="AF172" s="566"/>
      <c r="AG172" s="1641">
        <v>11</v>
      </c>
    </row>
    <row r="173" s="1641" customFormat="1" ht="11.5" customHeight="1">
      <c r="A173" s="987"/>
      <c r="B173" s="1636"/>
      <c r="C173" s="1636"/>
      <c r="D173" s="351"/>
      <c r="J173" s="1641"/>
      <c r="L173" s="1160"/>
      <c r="M173" s="1636"/>
      <c r="N173" s="1636"/>
      <c r="O173" s="1160"/>
      <c r="P173" s="1160"/>
      <c r="Q173" s="1160"/>
      <c r="R173" s="1160"/>
      <c r="S173" s="1636"/>
      <c r="T173" s="1160"/>
      <c r="U173" s="1160"/>
      <c r="V173" s="544"/>
      <c r="W173" s="1160"/>
      <c r="X173" s="1160"/>
      <c r="Y173" s="1160"/>
      <c r="Z173" s="1160"/>
      <c r="AA173" s="1160"/>
      <c r="AB173" s="1632"/>
      <c r="AC173" s="566"/>
      <c r="AD173" s="566"/>
      <c r="AE173" s="566"/>
      <c r="AF173" s="566"/>
      <c r="AG173" s="1641">
        <v>11</v>
      </c>
    </row>
    <row r="174" s="1641" customFormat="1" ht="11.5" customHeight="1">
      <c r="A174" s="987"/>
      <c r="B174" s="1636"/>
      <c r="C174" s="1636"/>
      <c r="D174" s="351"/>
      <c r="J174" s="1641"/>
      <c r="L174" s="1160"/>
      <c r="M174" s="1636"/>
      <c r="N174" s="1636"/>
      <c r="O174" s="1160"/>
      <c r="P174" s="1160"/>
      <c r="Q174" s="1160"/>
      <c r="R174" s="1160"/>
      <c r="S174" s="1636"/>
      <c r="T174" s="1160"/>
      <c r="U174" s="1160"/>
      <c r="V174" s="544"/>
      <c r="W174" s="1160"/>
      <c r="X174" s="1160"/>
      <c r="Y174" s="1160"/>
      <c r="Z174" s="1160"/>
      <c r="AA174" s="1160"/>
      <c r="AB174" s="1632"/>
      <c r="AC174" s="566"/>
      <c r="AD174" s="566"/>
      <c r="AE174" s="566"/>
      <c r="AF174" s="566"/>
      <c r="AG174" s="1641">
        <v>11</v>
      </c>
    </row>
    <row r="175" s="1641" customFormat="1" ht="11.5" customHeight="1">
      <c r="A175" s="987"/>
      <c r="B175" s="1636"/>
      <c r="C175" s="1636"/>
      <c r="D175" s="351"/>
      <c r="J175" s="1641"/>
      <c r="L175" s="1160"/>
      <c r="M175" s="1636"/>
      <c r="N175" s="1636"/>
      <c r="O175" s="1160"/>
      <c r="P175" s="1160"/>
      <c r="Q175" s="1160"/>
      <c r="R175" s="1160"/>
      <c r="S175" s="1636"/>
      <c r="T175" s="1160"/>
      <c r="U175" s="1160"/>
      <c r="V175" s="544"/>
      <c r="W175" s="1160"/>
      <c r="X175" s="1160"/>
      <c r="Y175" s="1160"/>
      <c r="Z175" s="1160"/>
      <c r="AA175" s="1160"/>
      <c r="AB175" s="1632"/>
      <c r="AC175" s="566"/>
      <c r="AD175" s="566"/>
      <c r="AE175" s="566"/>
      <c r="AF175" s="566"/>
      <c r="AG175" s="1641">
        <v>11</v>
      </c>
    </row>
    <row r="176" s="1641" customFormat="1" ht="11.5" customHeight="1">
      <c r="A176" s="987"/>
      <c r="B176" s="1636"/>
      <c r="C176" s="1636"/>
      <c r="D176" s="351"/>
      <c r="J176" s="1641"/>
      <c r="L176" s="1160"/>
      <c r="M176" s="1636"/>
      <c r="N176" s="1636"/>
      <c r="O176" s="1160"/>
      <c r="P176" s="1160"/>
      <c r="Q176" s="1160"/>
      <c r="R176" s="1160"/>
      <c r="S176" s="1636"/>
      <c r="T176" s="1160"/>
      <c r="U176" s="1160"/>
      <c r="V176" s="544"/>
      <c r="W176" s="1160"/>
      <c r="X176" s="1160"/>
      <c r="Y176" s="1160"/>
      <c r="Z176" s="1160"/>
      <c r="AA176" s="1160"/>
      <c r="AB176" s="1632"/>
      <c r="AC176" s="566"/>
      <c r="AD176" s="566"/>
      <c r="AE176" s="566"/>
      <c r="AF176" s="566"/>
      <c r="AG176" s="1641">
        <v>11</v>
      </c>
    </row>
    <row r="177" s="1641" customFormat="1" ht="11.5" customHeight="1">
      <c r="A177" s="987"/>
      <c r="B177" s="1636"/>
      <c r="C177" s="1636"/>
      <c r="D177" s="351"/>
      <c r="J177" s="1641"/>
      <c r="L177" s="1160"/>
      <c r="M177" s="1636"/>
      <c r="N177" s="1636"/>
      <c r="O177" s="1160"/>
      <c r="P177" s="1160"/>
      <c r="Q177" s="1160"/>
      <c r="R177" s="1160"/>
      <c r="S177" s="1636"/>
      <c r="T177" s="1160"/>
      <c r="U177" s="1160"/>
      <c r="V177" s="544"/>
      <c r="W177" s="1160"/>
      <c r="X177" s="1160"/>
      <c r="Y177" s="1160"/>
      <c r="Z177" s="1160"/>
      <c r="AA177" s="1160"/>
      <c r="AB177" s="1632"/>
      <c r="AC177" s="566"/>
      <c r="AD177" s="566"/>
      <c r="AE177" s="566"/>
      <c r="AF177" s="566"/>
      <c r="AG177" s="1641">
        <v>11</v>
      </c>
    </row>
    <row r="178" s="1641" customFormat="1" ht="11.5" customHeight="1">
      <c r="A178" s="987"/>
      <c r="B178" s="1636"/>
      <c r="C178" s="1636"/>
      <c r="D178" s="351"/>
      <c r="J178" s="1641"/>
      <c r="L178" s="1160"/>
      <c r="M178" s="1636"/>
      <c r="N178" s="1636"/>
      <c r="O178" s="1160"/>
      <c r="P178" s="1160"/>
      <c r="Q178" s="1160"/>
      <c r="R178" s="1160"/>
      <c r="S178" s="1636"/>
      <c r="T178" s="1160"/>
      <c r="U178" s="1160"/>
      <c r="V178" s="544"/>
      <c r="W178" s="1160"/>
      <c r="X178" s="1160"/>
      <c r="Y178" s="1160"/>
      <c r="Z178" s="1160"/>
      <c r="AA178" s="1160"/>
      <c r="AB178" s="1632"/>
      <c r="AC178" s="566"/>
      <c r="AD178" s="566"/>
      <c r="AE178" s="566"/>
      <c r="AF178" s="566"/>
      <c r="AG178" s="1641">
        <v>11</v>
      </c>
    </row>
    <row r="179" s="1641" customFormat="1" ht="11.5" customHeight="1">
      <c r="A179" s="987"/>
      <c r="B179" s="1636"/>
      <c r="C179" s="1636"/>
      <c r="D179" s="351"/>
      <c r="J179" s="1641"/>
      <c r="L179" s="1160"/>
      <c r="M179" s="1636"/>
      <c r="N179" s="1636"/>
      <c r="O179" s="1160"/>
      <c r="P179" s="1160"/>
      <c r="Q179" s="1160"/>
      <c r="R179" s="1160"/>
      <c r="S179" s="1636"/>
      <c r="T179" s="1160"/>
      <c r="U179" s="1160"/>
      <c r="V179" s="544"/>
      <c r="W179" s="1160"/>
      <c r="X179" s="1160"/>
      <c r="Y179" s="1160"/>
      <c r="Z179" s="1160"/>
      <c r="AA179" s="1160"/>
      <c r="AB179" s="1632"/>
      <c r="AC179" s="566"/>
      <c r="AD179" s="566"/>
      <c r="AE179" s="566"/>
      <c r="AF179" s="566"/>
      <c r="AG179" s="1641">
        <v>11</v>
      </c>
    </row>
    <row r="180" s="1641" customFormat="1" ht="11.5" customHeight="1">
      <c r="A180" s="987"/>
      <c r="B180" s="1636"/>
      <c r="C180" s="1636"/>
      <c r="D180" s="351"/>
      <c r="J180" s="1641"/>
      <c r="L180" s="1160"/>
      <c r="M180" s="1636"/>
      <c r="N180" s="1636"/>
      <c r="O180" s="1160"/>
      <c r="P180" s="1160"/>
      <c r="Q180" s="1160"/>
      <c r="R180" s="1160"/>
      <c r="S180" s="1636"/>
      <c r="T180" s="1160"/>
      <c r="U180" s="1160"/>
      <c r="V180" s="544"/>
      <c r="W180" s="1160"/>
      <c r="X180" s="1160"/>
      <c r="Y180" s="1160"/>
      <c r="Z180" s="1160"/>
      <c r="AA180" s="1160"/>
      <c r="AB180" s="1632"/>
      <c r="AC180" s="566"/>
      <c r="AD180" s="566"/>
      <c r="AE180" s="566"/>
      <c r="AF180" s="566"/>
      <c r="AG180" s="1641">
        <v>11</v>
      </c>
    </row>
    <row r="181" s="1641" customFormat="1" ht="11.5" customHeight="1">
      <c r="A181" s="987"/>
      <c r="B181" s="1636"/>
      <c r="C181" s="1636"/>
      <c r="D181" s="351"/>
      <c r="J181" s="1641"/>
      <c r="L181" s="1160"/>
      <c r="M181" s="1636"/>
      <c r="N181" s="1636"/>
      <c r="O181" s="1160"/>
      <c r="P181" s="1160"/>
      <c r="Q181" s="1160"/>
      <c r="R181" s="1160"/>
      <c r="S181" s="1636"/>
      <c r="T181" s="1160"/>
      <c r="U181" s="1160"/>
      <c r="V181" s="544"/>
      <c r="W181" s="1160"/>
      <c r="X181" s="1160"/>
      <c r="Y181" s="1160"/>
      <c r="Z181" s="1160"/>
      <c r="AA181" s="1160"/>
      <c r="AB181" s="1632"/>
      <c r="AC181" s="566"/>
      <c r="AD181" s="566"/>
      <c r="AE181" s="566"/>
      <c r="AF181" s="566"/>
      <c r="AG181" s="1641">
        <v>11</v>
      </c>
    </row>
    <row r="182" s="1641" customFormat="1" ht="11.5" customHeight="1">
      <c r="A182" s="987"/>
      <c r="B182" s="1636"/>
      <c r="C182" s="1636"/>
      <c r="D182" s="351"/>
      <c r="J182" s="1641"/>
      <c r="L182" s="1160"/>
      <c r="M182" s="1636"/>
      <c r="N182" s="1636"/>
      <c r="O182" s="1160"/>
      <c r="P182" s="1160"/>
      <c r="Q182" s="1160"/>
      <c r="R182" s="1160"/>
      <c r="S182" s="1636"/>
      <c r="T182" s="1160"/>
      <c r="U182" s="1160"/>
      <c r="V182" s="544"/>
      <c r="W182" s="1160"/>
      <c r="X182" s="1160"/>
      <c r="Y182" s="1160"/>
      <c r="Z182" s="1160"/>
      <c r="AA182" s="1160"/>
      <c r="AB182" s="1632"/>
      <c r="AC182" s="566"/>
      <c r="AD182" s="566"/>
      <c r="AE182" s="566"/>
      <c r="AF182" s="566"/>
      <c r="AG182" s="1641">
        <v>11</v>
      </c>
    </row>
    <row r="183" s="1641" customFormat="1" ht="11.5" customHeight="1">
      <c r="A183" s="987"/>
      <c r="B183" s="1636"/>
      <c r="C183" s="1636"/>
      <c r="D183" s="351"/>
      <c r="J183" s="1641"/>
      <c r="L183" s="1160"/>
      <c r="M183" s="1636"/>
      <c r="N183" s="1636"/>
      <c r="O183" s="1160"/>
      <c r="P183" s="1160"/>
      <c r="Q183" s="1160"/>
      <c r="R183" s="1160"/>
      <c r="S183" s="1636"/>
      <c r="T183" s="1160"/>
      <c r="U183" s="1160"/>
      <c r="V183" s="544"/>
      <c r="W183" s="1160"/>
      <c r="X183" s="1160"/>
      <c r="Y183" s="1160"/>
      <c r="Z183" s="1160"/>
      <c r="AA183" s="1160"/>
      <c r="AB183" s="1632"/>
      <c r="AC183" s="566"/>
      <c r="AD183" s="566"/>
      <c r="AE183" s="566"/>
      <c r="AF183" s="566"/>
      <c r="AG183" s="1641">
        <v>11</v>
      </c>
    </row>
    <row r="184" s="1641" customFormat="1" ht="11.5" customHeight="1">
      <c r="A184" s="987"/>
      <c r="B184" s="1636"/>
      <c r="C184" s="1636"/>
      <c r="D184" s="351"/>
      <c r="J184" s="1641"/>
      <c r="L184" s="1160"/>
      <c r="M184" s="1636"/>
      <c r="N184" s="1636"/>
      <c r="O184" s="1160"/>
      <c r="P184" s="1160"/>
      <c r="Q184" s="1160"/>
      <c r="R184" s="1160"/>
      <c r="S184" s="1636"/>
      <c r="T184" s="1160"/>
      <c r="U184" s="1160"/>
      <c r="V184" s="544"/>
      <c r="W184" s="1160"/>
      <c r="X184" s="1160"/>
      <c r="Y184" s="1160"/>
      <c r="Z184" s="1160"/>
      <c r="AA184" s="1160"/>
      <c r="AB184" s="1632"/>
      <c r="AC184" s="566"/>
      <c r="AD184" s="566"/>
      <c r="AE184" s="566"/>
      <c r="AF184" s="566"/>
      <c r="AG184" s="1641">
        <v>11</v>
      </c>
    </row>
    <row r="185" s="1641" customFormat="1" ht="11.5" customHeight="1">
      <c r="A185" s="987"/>
      <c r="B185" s="1636"/>
      <c r="C185" s="1636"/>
      <c r="D185" s="351"/>
      <c r="J185" s="1641"/>
      <c r="L185" s="1160"/>
      <c r="M185" s="1636"/>
      <c r="N185" s="1636"/>
      <c r="O185" s="1160"/>
      <c r="P185" s="1160"/>
      <c r="Q185" s="1160"/>
      <c r="R185" s="1160"/>
      <c r="S185" s="1636"/>
      <c r="T185" s="1160"/>
      <c r="U185" s="1160"/>
      <c r="V185" s="544"/>
      <c r="W185" s="1160"/>
      <c r="X185" s="1160"/>
      <c r="Y185" s="1160"/>
      <c r="Z185" s="1160"/>
      <c r="AA185" s="1160"/>
      <c r="AB185" s="1632"/>
      <c r="AC185" s="566"/>
      <c r="AD185" s="566"/>
      <c r="AE185" s="566"/>
      <c r="AF185" s="566"/>
      <c r="AG185" s="1641">
        <v>11</v>
      </c>
    </row>
    <row r="186" s="1641" customFormat="1" ht="11.5" customHeight="1">
      <c r="A186" s="987"/>
      <c r="B186" s="1636"/>
      <c r="C186" s="1636"/>
      <c r="D186" s="351"/>
      <c r="J186" s="1641"/>
      <c r="L186" s="1160"/>
      <c r="M186" s="1636"/>
      <c r="N186" s="1636"/>
      <c r="O186" s="1160"/>
      <c r="P186" s="1160"/>
      <c r="Q186" s="1160"/>
      <c r="R186" s="1160"/>
      <c r="S186" s="1636"/>
      <c r="T186" s="1160"/>
      <c r="U186" s="1160"/>
      <c r="V186" s="544"/>
      <c r="W186" s="1160"/>
      <c r="X186" s="1160"/>
      <c r="Y186" s="1160"/>
      <c r="Z186" s="1160"/>
      <c r="AA186" s="1160"/>
      <c r="AB186" s="1632"/>
      <c r="AC186" s="566"/>
      <c r="AD186" s="566"/>
      <c r="AE186" s="566"/>
      <c r="AF186" s="566"/>
      <c r="AG186" s="1641">
        <v>11</v>
      </c>
    </row>
    <row r="187" s="1641" customFormat="1" ht="11.5" customHeight="1">
      <c r="A187" s="987"/>
      <c r="B187" s="1636"/>
      <c r="C187" s="1636"/>
      <c r="D187" s="351"/>
      <c r="J187" s="1641"/>
      <c r="L187" s="1160"/>
      <c r="M187" s="1636"/>
      <c r="N187" s="1636"/>
      <c r="O187" s="1160"/>
      <c r="P187" s="1160"/>
      <c r="Q187" s="1160"/>
      <c r="R187" s="1160"/>
      <c r="S187" s="1636"/>
      <c r="T187" s="1160"/>
      <c r="U187" s="1160"/>
      <c r="V187" s="544"/>
      <c r="W187" s="1160"/>
      <c r="X187" s="1160"/>
      <c r="Y187" s="1160"/>
      <c r="Z187" s="1160"/>
      <c r="AA187" s="1160"/>
      <c r="AB187" s="1632"/>
      <c r="AC187" s="566"/>
      <c r="AD187" s="566"/>
      <c r="AE187" s="566"/>
      <c r="AF187" s="566"/>
      <c r="AG187" s="1641">
        <v>11</v>
      </c>
    </row>
    <row r="188" s="1641" customFormat="1" ht="11.5" customHeight="1">
      <c r="A188" s="987"/>
      <c r="B188" s="1636"/>
      <c r="C188" s="1636"/>
      <c r="D188" s="351"/>
      <c r="J188" s="1641"/>
      <c r="L188" s="1160"/>
      <c r="M188" s="1636"/>
      <c r="N188" s="1636"/>
      <c r="O188" s="1160"/>
      <c r="P188" s="1160"/>
      <c r="Q188" s="1160"/>
      <c r="R188" s="1160"/>
      <c r="S188" s="1636"/>
      <c r="T188" s="1160"/>
      <c r="U188" s="1160"/>
      <c r="V188" s="544"/>
      <c r="W188" s="1160"/>
      <c r="X188" s="1160"/>
      <c r="Y188" s="1160"/>
      <c r="Z188" s="1160"/>
      <c r="AA188" s="1160"/>
      <c r="AB188" s="1632"/>
      <c r="AC188" s="566"/>
      <c r="AD188" s="566"/>
      <c r="AE188" s="566"/>
      <c r="AF188" s="566"/>
      <c r="AG188" s="1641">
        <v>11</v>
      </c>
    </row>
    <row r="189" s="1641" customFormat="1" ht="11.5" customHeight="1">
      <c r="A189" s="987"/>
      <c r="B189" s="1636"/>
      <c r="C189" s="1636"/>
      <c r="D189" s="351"/>
      <c r="J189" s="1641"/>
      <c r="L189" s="1160"/>
      <c r="M189" s="1636"/>
      <c r="N189" s="1636"/>
      <c r="O189" s="1160"/>
      <c r="P189" s="1160"/>
      <c r="Q189" s="1160"/>
      <c r="R189" s="1160"/>
      <c r="S189" s="1636"/>
      <c r="T189" s="1160"/>
      <c r="U189" s="1160"/>
      <c r="V189" s="544"/>
      <c r="W189" s="1160"/>
      <c r="X189" s="1160"/>
      <c r="Y189" s="1160"/>
      <c r="Z189" s="1160"/>
      <c r="AA189" s="1160"/>
      <c r="AB189" s="1632"/>
      <c r="AC189" s="566"/>
      <c r="AD189" s="566"/>
      <c r="AE189" s="566"/>
      <c r="AF189" s="566"/>
      <c r="AG189" s="1641">
        <v>11</v>
      </c>
    </row>
    <row r="190" s="1641" customFormat="1" ht="11.5" customHeight="1">
      <c r="A190" s="987"/>
      <c r="B190" s="1636"/>
      <c r="C190" s="1636"/>
      <c r="D190" s="351"/>
      <c r="J190" s="1641"/>
      <c r="L190" s="1160"/>
      <c r="M190" s="1636"/>
      <c r="N190" s="1636"/>
      <c r="O190" s="1160"/>
      <c r="P190" s="1160"/>
      <c r="Q190" s="1160"/>
      <c r="R190" s="1160"/>
      <c r="S190" s="1636"/>
      <c r="T190" s="1160"/>
      <c r="U190" s="1160"/>
      <c r="V190" s="544"/>
      <c r="W190" s="1160"/>
      <c r="X190" s="1160"/>
      <c r="Y190" s="1160"/>
      <c r="Z190" s="1160"/>
      <c r="AA190" s="1160"/>
      <c r="AB190" s="1632"/>
      <c r="AC190" s="566"/>
      <c r="AD190" s="566"/>
      <c r="AE190" s="566"/>
      <c r="AF190" s="566"/>
      <c r="AG190" s="1641">
        <v>11</v>
      </c>
    </row>
    <row r="191" s="1641" customFormat="1" ht="11.5" customHeight="1">
      <c r="A191" s="987"/>
      <c r="B191" s="1636"/>
      <c r="C191" s="1636"/>
      <c r="D191" s="351"/>
      <c r="J191" s="1641"/>
      <c r="L191" s="1160"/>
      <c r="M191" s="1636"/>
      <c r="N191" s="1636"/>
      <c r="O191" s="1160"/>
      <c r="P191" s="1160"/>
      <c r="Q191" s="1160"/>
      <c r="R191" s="1160"/>
      <c r="S191" s="1636"/>
      <c r="T191" s="1160"/>
      <c r="U191" s="1160"/>
      <c r="V191" s="544"/>
      <c r="W191" s="1160"/>
      <c r="X191" s="1160"/>
      <c r="Y191" s="1160"/>
      <c r="Z191" s="1160"/>
      <c r="AA191" s="1160"/>
      <c r="AB191" s="1632"/>
      <c r="AC191" s="566"/>
      <c r="AD191" s="566"/>
      <c r="AE191" s="566"/>
      <c r="AF191" s="566"/>
      <c r="AG191" s="1641">
        <v>11</v>
      </c>
    </row>
    <row r="192" s="1641" customFormat="1" ht="11.5" customHeight="1">
      <c r="A192" s="987"/>
      <c r="B192" s="1636"/>
      <c r="C192" s="1636"/>
      <c r="D192" s="351"/>
      <c r="J192" s="1641"/>
      <c r="L192" s="1160"/>
      <c r="M192" s="1636"/>
      <c r="N192" s="1636"/>
      <c r="O192" s="1160"/>
      <c r="P192" s="1160"/>
      <c r="Q192" s="1160"/>
      <c r="R192" s="1160"/>
      <c r="S192" s="1636"/>
      <c r="T192" s="1160"/>
      <c r="U192" s="1160"/>
      <c r="V192" s="544"/>
      <c r="W192" s="1160"/>
      <c r="X192" s="1160"/>
      <c r="Y192" s="1160"/>
      <c r="Z192" s="1160"/>
      <c r="AA192" s="1160"/>
      <c r="AB192" s="1632"/>
      <c r="AC192" s="566"/>
      <c r="AD192" s="566"/>
      <c r="AE192" s="566"/>
      <c r="AF192" s="566"/>
      <c r="AG192" s="1641">
        <v>11</v>
      </c>
    </row>
    <row r="193" s="1641" customFormat="1" ht="11.5" customHeight="1">
      <c r="A193" s="987"/>
      <c r="B193" s="1636"/>
      <c r="C193" s="1636"/>
      <c r="D193" s="351"/>
      <c r="J193" s="1641"/>
      <c r="L193" s="1160"/>
      <c r="M193" s="1636"/>
      <c r="N193" s="1636"/>
      <c r="O193" s="1160"/>
      <c r="P193" s="1160"/>
      <c r="Q193" s="1160"/>
      <c r="R193" s="1160"/>
      <c r="S193" s="1636"/>
      <c r="T193" s="1160"/>
      <c r="U193" s="1160"/>
      <c r="V193" s="544"/>
      <c r="W193" s="1160"/>
      <c r="X193" s="1160"/>
      <c r="Y193" s="1160"/>
      <c r="Z193" s="1160"/>
      <c r="AA193" s="1160"/>
      <c r="AB193" s="1632"/>
      <c r="AC193" s="566"/>
      <c r="AD193" s="566"/>
      <c r="AE193" s="566"/>
      <c r="AF193" s="566"/>
      <c r="AG193" s="1641">
        <v>11</v>
      </c>
    </row>
    <row r="194" s="1641" customFormat="1" ht="11.5" customHeight="1">
      <c r="A194" s="987"/>
      <c r="B194" s="1636"/>
      <c r="C194" s="1636"/>
      <c r="D194" s="351"/>
      <c r="J194" s="1641"/>
      <c r="L194" s="1160"/>
      <c r="M194" s="1636"/>
      <c r="N194" s="1636"/>
      <c r="O194" s="1160"/>
      <c r="P194" s="1160"/>
      <c r="Q194" s="1160"/>
      <c r="R194" s="1160"/>
      <c r="S194" s="1636"/>
      <c r="T194" s="1160"/>
      <c r="U194" s="1160"/>
      <c r="V194" s="544"/>
      <c r="W194" s="1160"/>
      <c r="X194" s="1160"/>
      <c r="Y194" s="1160"/>
      <c r="Z194" s="1160"/>
      <c r="AA194" s="1160"/>
      <c r="AB194" s="1632"/>
      <c r="AC194" s="566"/>
      <c r="AD194" s="566"/>
      <c r="AE194" s="566"/>
      <c r="AF194" s="566"/>
      <c r="AG194" s="1641">
        <v>11</v>
      </c>
    </row>
    <row r="195" s="1641" customFormat="1" ht="11.5" customHeight="1">
      <c r="A195" s="987"/>
      <c r="B195" s="1636"/>
      <c r="C195" s="1636"/>
      <c r="D195" s="351"/>
      <c r="J195" s="1641"/>
      <c r="L195" s="1160"/>
      <c r="M195" s="1636"/>
      <c r="N195" s="1636"/>
      <c r="O195" s="1160"/>
      <c r="P195" s="1160"/>
      <c r="Q195" s="1160"/>
      <c r="R195" s="1160"/>
      <c r="S195" s="1636"/>
      <c r="T195" s="1160"/>
      <c r="U195" s="1160"/>
      <c r="V195" s="544"/>
      <c r="W195" s="1160"/>
      <c r="X195" s="1160"/>
      <c r="Y195" s="1160"/>
      <c r="Z195" s="1160"/>
      <c r="AA195" s="1160"/>
      <c r="AB195" s="1632"/>
      <c r="AC195" s="566"/>
      <c r="AD195" s="566"/>
      <c r="AE195" s="566"/>
      <c r="AF195" s="566"/>
      <c r="AG195" s="1641">
        <v>11</v>
      </c>
    </row>
    <row r="196" ht="11.5" customHeight="1">
      <c r="J196" s="1635"/>
      <c r="AG196" s="1631">
        <v>11</v>
      </c>
    </row>
    <row r="197" ht="11.5" customHeight="1">
      <c r="J197" s="1635"/>
      <c r="AG197" s="1631">
        <v>11</v>
      </c>
    </row>
    <row r="198" ht="11.5" customHeight="1">
      <c r="J198" s="1635"/>
      <c r="AG198" s="1631">
        <v>11</v>
      </c>
    </row>
    <row r="199" ht="11.5" customHeight="1">
      <c r="A199" s="990"/>
      <c r="B199" s="1631"/>
      <c r="D199" s="1631"/>
      <c r="J199" s="1635"/>
      <c r="L199" s="1631"/>
      <c r="O199" s="1631"/>
      <c r="P199" s="1631"/>
      <c r="Q199" s="1631"/>
      <c r="R199" s="1631"/>
      <c r="T199" s="1631"/>
      <c r="U199" s="1631"/>
      <c r="V199" s="1631"/>
      <c r="W199" s="1631"/>
      <c r="X199" s="1631"/>
      <c r="Y199" s="1631"/>
      <c r="Z199" s="1631"/>
      <c r="AA199" s="1631"/>
      <c r="AB199" s="1631"/>
      <c r="AC199" s="1631"/>
      <c r="AD199" s="1631"/>
      <c r="AE199" s="1631"/>
      <c r="AF199" s="1631"/>
      <c r="AG199" s="1631">
        <v>11</v>
      </c>
    </row>
    <row r="200" ht="11.5" customHeight="1">
      <c r="A200" s="990"/>
      <c r="B200" s="1631"/>
      <c r="D200" s="1631"/>
      <c r="J200" s="1635"/>
      <c r="L200" s="1631"/>
      <c r="O200" s="1631"/>
      <c r="P200" s="1631"/>
      <c r="Q200" s="1631"/>
      <c r="R200" s="1631"/>
      <c r="T200" s="1631"/>
      <c r="U200" s="1631"/>
      <c r="V200" s="1631"/>
      <c r="W200" s="1631"/>
      <c r="X200" s="1631"/>
      <c r="Y200" s="1631"/>
      <c r="Z200" s="1631"/>
      <c r="AA200" s="1631"/>
      <c r="AB200" s="1631"/>
      <c r="AC200" s="1631"/>
      <c r="AD200" s="1631"/>
      <c r="AE200" s="1631"/>
      <c r="AF200" s="1631"/>
      <c r="AG200" s="1631">
        <v>11</v>
      </c>
    </row>
    <row r="201" ht="11.5" customHeight="1">
      <c r="A201" s="990"/>
      <c r="B201" s="1631"/>
      <c r="D201" s="1631"/>
      <c r="J201" s="1635"/>
      <c r="L201" s="1631"/>
      <c r="O201" s="1631"/>
      <c r="P201" s="1631"/>
      <c r="Q201" s="1631"/>
      <c r="R201" s="1631"/>
      <c r="T201" s="1631"/>
      <c r="U201" s="1631"/>
      <c r="V201" s="1631"/>
      <c r="W201" s="1631"/>
      <c r="X201" s="1631"/>
      <c r="Y201" s="1631"/>
      <c r="Z201" s="1631"/>
      <c r="AA201" s="1631"/>
      <c r="AB201" s="1631"/>
      <c r="AC201" s="1631"/>
      <c r="AD201" s="1631"/>
      <c r="AE201" s="1631"/>
      <c r="AF201" s="1631"/>
      <c r="AG201" s="1631">
        <v>11</v>
      </c>
    </row>
    <row r="202" ht="11.5" customHeight="1">
      <c r="A202" s="990"/>
      <c r="B202" s="1631"/>
      <c r="D202" s="1631"/>
      <c r="J202" s="1635"/>
      <c r="L202" s="1631"/>
      <c r="O202" s="1631"/>
      <c r="P202" s="1631"/>
      <c r="Q202" s="1631"/>
      <c r="R202" s="1631"/>
      <c r="T202" s="1631"/>
      <c r="U202" s="1631"/>
      <c r="V202" s="1631"/>
      <c r="W202" s="1631"/>
      <c r="X202" s="1631"/>
      <c r="Y202" s="1631"/>
      <c r="Z202" s="1631"/>
      <c r="AA202" s="1631"/>
      <c r="AB202" s="1631"/>
      <c r="AC202" s="1631"/>
      <c r="AD202" s="1631"/>
      <c r="AE202" s="1631"/>
      <c r="AF202" s="1631"/>
      <c r="AG202" s="1631">
        <v>11</v>
      </c>
    </row>
    <row r="203" ht="11.5" customHeight="1">
      <c r="A203" s="990"/>
      <c r="B203" s="1631"/>
      <c r="D203" s="1631"/>
      <c r="J203" s="1635"/>
      <c r="L203" s="1631"/>
      <c r="O203" s="1631"/>
      <c r="P203" s="1631"/>
      <c r="Q203" s="1631"/>
      <c r="R203" s="1631"/>
      <c r="T203" s="1631"/>
      <c r="U203" s="1631"/>
      <c r="V203" s="1631"/>
      <c r="W203" s="1631"/>
      <c r="X203" s="1631"/>
      <c r="Y203" s="1631"/>
      <c r="Z203" s="1631"/>
      <c r="AA203" s="1631"/>
      <c r="AB203" s="1631"/>
      <c r="AC203" s="1631"/>
      <c r="AD203" s="1631"/>
      <c r="AE203" s="1631"/>
      <c r="AF203" s="1631"/>
      <c r="AG203" s="1631">
        <v>11</v>
      </c>
    </row>
    <row r="204" ht="11.5" customHeight="1">
      <c r="A204" s="990"/>
      <c r="B204" s="1631"/>
      <c r="D204" s="1631"/>
      <c r="J204" s="1635"/>
      <c r="L204" s="1631"/>
      <c r="O204" s="1631"/>
      <c r="P204" s="1631"/>
      <c r="Q204" s="1631"/>
      <c r="R204" s="1631"/>
      <c r="T204" s="1631"/>
      <c r="U204" s="1631"/>
      <c r="V204" s="1631"/>
      <c r="W204" s="1631"/>
      <c r="X204" s="1631"/>
      <c r="Y204" s="1631"/>
      <c r="Z204" s="1631"/>
      <c r="AA204" s="1631"/>
      <c r="AB204" s="1631"/>
      <c r="AC204" s="1631"/>
      <c r="AD204" s="1631"/>
      <c r="AE204" s="1631"/>
      <c r="AF204" s="1631"/>
      <c r="AG204" s="1631">
        <v>11</v>
      </c>
    </row>
    <row r="205" ht="11.5" customHeight="1">
      <c r="A205" s="990"/>
      <c r="B205" s="1631"/>
      <c r="D205" s="1631"/>
      <c r="J205" s="1635"/>
      <c r="L205" s="1631"/>
      <c r="O205" s="1631"/>
      <c r="P205" s="1631"/>
      <c r="Q205" s="1631"/>
      <c r="R205" s="1631"/>
      <c r="T205" s="1631"/>
      <c r="U205" s="1631"/>
      <c r="V205" s="1631"/>
      <c r="W205" s="1631"/>
      <c r="X205" s="1631"/>
      <c r="Y205" s="1631"/>
      <c r="Z205" s="1631"/>
      <c r="AA205" s="1631"/>
      <c r="AB205" s="1631"/>
      <c r="AC205" s="1631"/>
      <c r="AD205" s="1631"/>
      <c r="AE205" s="1631"/>
      <c r="AF205" s="1631"/>
      <c r="AG205" s="1631">
        <v>11</v>
      </c>
    </row>
    <row r="206" ht="11.5" customHeight="1">
      <c r="A206" s="990"/>
      <c r="B206" s="1631"/>
      <c r="D206" s="1631"/>
      <c r="J206" s="1635"/>
      <c r="L206" s="1631"/>
      <c r="O206" s="1631"/>
      <c r="P206" s="1631"/>
      <c r="Q206" s="1631"/>
      <c r="R206" s="1631"/>
      <c r="T206" s="1631"/>
      <c r="U206" s="1631"/>
      <c r="V206" s="1631"/>
      <c r="W206" s="1631"/>
      <c r="X206" s="1631"/>
      <c r="Y206" s="1631"/>
      <c r="Z206" s="1631"/>
      <c r="AA206" s="1631"/>
      <c r="AB206" s="1631"/>
      <c r="AC206" s="1631"/>
      <c r="AD206" s="1631"/>
      <c r="AE206" s="1631"/>
      <c r="AF206" s="1631"/>
      <c r="AG206" s="1631">
        <v>11</v>
      </c>
    </row>
    <row r="207" ht="11.5" customHeight="1">
      <c r="A207" s="990"/>
      <c r="B207" s="1631"/>
      <c r="D207" s="1631"/>
      <c r="J207" s="1635"/>
      <c r="L207" s="1631"/>
      <c r="O207" s="1631"/>
      <c r="P207" s="1631"/>
      <c r="Q207" s="1631"/>
      <c r="R207" s="1631"/>
      <c r="T207" s="1631"/>
      <c r="U207" s="1631"/>
      <c r="V207" s="1631"/>
      <c r="W207" s="1631"/>
      <c r="X207" s="1631"/>
      <c r="Y207" s="1631"/>
      <c r="Z207" s="1631"/>
      <c r="AA207" s="1631"/>
      <c r="AB207" s="1631"/>
      <c r="AC207" s="1631"/>
      <c r="AD207" s="1631"/>
      <c r="AE207" s="1631"/>
      <c r="AF207" s="1631"/>
      <c r="AG207" s="1631">
        <v>11</v>
      </c>
    </row>
    <row r="208" ht="11.5" customHeight="1">
      <c r="A208" s="990"/>
      <c r="B208" s="1631"/>
      <c r="D208" s="1631"/>
      <c r="J208" s="1635"/>
      <c r="L208" s="1631"/>
      <c r="O208" s="1631"/>
      <c r="P208" s="1631"/>
      <c r="Q208" s="1631"/>
      <c r="R208" s="1631"/>
      <c r="T208" s="1631"/>
      <c r="U208" s="1631"/>
      <c r="V208" s="1631"/>
      <c r="W208" s="1631"/>
      <c r="X208" s="1631"/>
      <c r="Y208" s="1631"/>
      <c r="Z208" s="1631"/>
      <c r="AA208" s="1631"/>
      <c r="AB208" s="1631"/>
      <c r="AC208" s="1631"/>
      <c r="AD208" s="1631"/>
      <c r="AE208" s="1631"/>
      <c r="AF208" s="1631"/>
      <c r="AG208" s="1631">
        <v>11</v>
      </c>
    </row>
    <row r="209" ht="11.5" customHeight="1">
      <c r="A209" s="990"/>
      <c r="B209" s="1631"/>
      <c r="D209" s="1631"/>
      <c r="J209" s="1635"/>
      <c r="L209" s="1631"/>
      <c r="O209" s="1631"/>
      <c r="P209" s="1631"/>
      <c r="Q209" s="1631"/>
      <c r="R209" s="1631"/>
      <c r="T209" s="1631"/>
      <c r="U209" s="1631"/>
      <c r="V209" s="1631"/>
      <c r="W209" s="1631"/>
      <c r="X209" s="1631"/>
      <c r="Y209" s="1631"/>
      <c r="Z209" s="1631"/>
      <c r="AA209" s="1631"/>
      <c r="AB209" s="1631"/>
      <c r="AC209" s="1631"/>
      <c r="AD209" s="1631"/>
      <c r="AE209" s="1631"/>
      <c r="AF209" s="1631"/>
      <c r="AG209" s="1631">
        <v>11</v>
      </c>
    </row>
    <row r="210" ht="11.25" hidden="1" customHeight="1">
      <c r="A210" s="987" t="s">
        <v>81</v>
      </c>
      <c r="B210" s="1160">
        <v>0</v>
      </c>
      <c r="C210" s="1636">
        <v>0</v>
      </c>
      <c r="D210" s="1635">
        <v>3</v>
      </c>
      <c r="E210" s="1631">
        <v>7</v>
      </c>
      <c r="F210" s="1631">
        <v>54</v>
      </c>
      <c r="G210" s="1631">
        <v>10</v>
      </c>
      <c r="H210" s="1631">
        <v>0</v>
      </c>
      <c r="I210" s="1631">
        <v>40</v>
      </c>
      <c r="J210" s="1635">
        <v>0</v>
      </c>
      <c r="K210" s="1631">
        <v>102</v>
      </c>
      <c r="L210" s="1160">
        <v>9</v>
      </c>
      <c r="M210" s="1636">
        <v>5</v>
      </c>
      <c r="N210" s="1636">
        <v>3</v>
      </c>
      <c r="O210" s="1160">
        <v>3</v>
      </c>
      <c r="P210" s="1160">
        <v>3</v>
      </c>
      <c r="Q210" s="1160">
        <v>3</v>
      </c>
      <c r="R210" s="1160">
        <v>3</v>
      </c>
      <c r="S210" s="1636">
        <v>10</v>
      </c>
      <c r="T210" s="1160">
        <v>34</v>
      </c>
      <c r="U210" s="1160">
        <v>9</v>
      </c>
      <c r="V210" s="544">
        <v>8</v>
      </c>
      <c r="W210" s="1160">
        <v>8</v>
      </c>
      <c r="X210" s="1160">
        <v>8</v>
      </c>
      <c r="Y210" s="1160">
        <v>8</v>
      </c>
      <c r="Z210" s="1160">
        <v>8</v>
      </c>
      <c r="AA210" s="1160">
        <v>8</v>
      </c>
      <c r="AB210" s="1632">
        <v>8</v>
      </c>
      <c r="AC210" s="1632">
        <v>8</v>
      </c>
      <c r="AD210" s="1632">
        <v>8</v>
      </c>
      <c r="AE210" s="1632">
        <v>8</v>
      </c>
      <c r="AF210" s="1632">
        <v>8</v>
      </c>
      <c r="AG210" s="1631">
        <v>11</v>
      </c>
    </row>
  </sheetData>
  <sheetProtection autoFilter="0" deleteColumns="0" deleteRows="0" formatColumns="0" formatRows="0" insertColumns="1" insertRows="0" sort="0"/>
  <mergeCells count="9">
    <mergeCell ref="F40:G40"/>
    <mergeCell ref="E6:I6"/>
    <mergeCell ref="E7:I7"/>
    <mergeCell ref="F10:G10"/>
    <mergeCell ref="K10:K14"/>
    <mergeCell ref="F11:G11"/>
    <mergeCell ref="F12:G12"/>
    <mergeCell ref="E13:G13"/>
    <mergeCell ref="F39:G39"/>
  </mergeCells>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5">
        <x14:dataValidation xr:uid="{00E70008-005D-40FB-ACC3-003C00F200B8}" type="textLength" allowBlank="1" error="Допускается ввод не более 900 символов!" errorTitle="Ошибка" operator="lessThanOrEqual" prompt="Введите наименование прочих расходов" showErrorMessage="1" showInputMessage="1">
          <x14:formula1>
            <xm:f>900</xm:f>
          </x14:formula1>
          <xm:sqref>H28:J28</xm:sqref>
        </x14:dataValidation>
        <x14:dataValidation xr:uid="{00870062-0003-4A3A-9312-0085000400B5}" type="decimal" allowBlank="1" error="Допускается ввод только неотрицательных чисел!" errorTitle="Ошибка" showErrorMessage="1">
          <x14:formula1>
            <xm:f>0</xm:f>
          </x14:formula1>
          <x14:formula2>
            <xm:f>9.99999999999999E+23</xm:f>
          </x14:formula2>
          <xm:sqref>H31:J31 H2:J2 H15:J15 H17:J27 H36:J37</xm:sqref>
        </x14:dataValidation>
        <x14:dataValidation xr:uid="{000800B5-00F2-4CFC-A763-00D9009E00F7}" type="textLength" allowBlank="1" error="Допускается ввод не более 900 символов!" errorTitle="Ошибка" operator="lessThanOrEqual" prompt="Введите ссылку на обосновывающие материалы, загруженные с помощью &quot;ЕИАС Web&quot;." showErrorMessage="1" showInputMessage="1">
          <x14:formula1>
            <xm:f>900</xm:f>
          </x14:formula1>
          <xm:sqref>H35:J35</xm:sqref>
        </x14:dataValidation>
        <x14:dataValidation xr:uid="{00E300A5-00F7-452B-A3D8-003600D600E0}" type="decimal" allowBlank="1" error="Допускается ввод только действительных чисел!" errorTitle="Ошибка" showErrorMessage="1">
          <x14:formula1>
            <xm:f>-9.99999999999999E+23</xm:f>
          </x14:formula1>
          <x14:formula2>
            <xm:f>9.99999999999999E+23</xm:f>
          </x14:formula2>
          <xm:sqref>H30:J30</xm:sqref>
        </x14:dataValidation>
        <x14:dataValidation xr:uid="{00F300CC-0024-493E-B7A0-001C00E100E9}" type="decimal" allowBlank="1" error="Допускается ввод только действительных чисел!" errorTitle="Ошибка" showErrorMessage="1">
          <x14:formula1>
            <xm:f>-9.99999999999999E+37</xm:f>
          </x14:formula1>
          <x14:formula2>
            <xm:f>9.99999999999999E+37</xm:f>
          </x14:formula2>
          <xm:sqref>H32:J34</xm:sqref>
        </x14:dataValidation>
      </x14:dataValidations>
    </ext>
  </extLst>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9" tint="-0.25"/>
  </sheetPr>
  <sheetViews>
    <sheetView showGridLines="0" topLeftCell="A1" zoomScale="90" workbookViewId="0">
      <selection activeCell="K1" sqref="K1:L1048576"/>
    </sheetView>
  </sheetViews>
  <sheetFormatPr defaultColWidth="10.57421875" defaultRowHeight="11.25" customHeight="1"/>
  <cols>
    <col customWidth="1" hidden="1" min="1" max="1" style="1166" width="9.140625"/>
    <col customWidth="1" hidden="1" min="2" max="2" style="1642" width="3.57421875"/>
    <col customWidth="1" min="3" max="3" style="1635" width="3.00390625"/>
    <col customWidth="1" min="4" max="4" style="1635" width="7.00390625"/>
    <col customWidth="1" min="5" max="5" style="1635" width="69.00390625"/>
    <col customWidth="1" min="6" max="6" style="1635" width="10.00390625"/>
    <col customWidth="1" hidden="1" min="7" max="8" style="1635" width="44.00390625"/>
    <col customWidth="1" min="9" max="9" style="1635" width="44.00390625"/>
    <col customWidth="1" min="10" max="10" style="1635" width="43.00390625"/>
    <col customWidth="1" min="11" max="12" style="1635" width="44.00390625"/>
    <col customWidth="1" min="13" max="13" style="1635" width="73.00390625"/>
    <col customWidth="1" min="14" max="14" style="1635" width="3.00390625"/>
    <col customWidth="1" min="15" max="25" style="1635" width="10.00390625"/>
    <col hidden="1" min="26" max="26" style="1635" width="10.57421875"/>
  </cols>
  <sheetData>
    <row r="1" s="1366" customFormat="1" ht="22.5" hidden="1" customHeight="1">
      <c r="A1" s="536"/>
      <c r="B1" s="511"/>
      <c r="G1" s="417">
        <v>4</v>
      </c>
      <c r="I1" s="417">
        <v>4</v>
      </c>
      <c r="K1" s="1366">
        <v>4</v>
      </c>
      <c r="L1" s="1366"/>
      <c r="M1" s="417">
        <v>5</v>
      </c>
      <c r="Z1" s="417" t="s">
        <v>14</v>
      </c>
    </row>
    <row r="2" ht="3" customHeight="1">
      <c r="K2" s="1635"/>
      <c r="L2" s="1635"/>
      <c r="Z2" s="505">
        <v>3</v>
      </c>
    </row>
    <row r="3" ht="78.75" customHeight="1">
      <c r="D3" s="2238" t="str">
        <f>KNE_NAME_FORM</f>
        <v xml:space="preserve">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39"/>
      <c r="F3" s="2240"/>
      <c r="K3" s="1635"/>
      <c r="L3" s="1635"/>
      <c r="Z3" s="505">
        <v>75</v>
      </c>
    </row>
    <row r="4" s="1635" customFormat="1" ht="21" customHeight="1">
      <c r="A4" s="951"/>
      <c r="B4" s="511"/>
      <c r="D4" s="2214" t="str">
        <f>IF(org=0,"Не определено",org)</f>
        <v xml:space="preserve">филиал ПАО "ОГК-2" - Рязанская ГРЭС</v>
      </c>
      <c r="E4" s="2215"/>
      <c r="F4" s="2216"/>
      <c r="K4" s="1635"/>
      <c r="L4" s="1635"/>
      <c r="Z4" s="758">
        <v>20</v>
      </c>
    </row>
    <row r="5" ht="11.5" customHeight="1">
      <c r="C5" s="509"/>
      <c r="D5" s="588"/>
      <c r="E5" s="588"/>
      <c r="F5" s="588"/>
      <c r="G5" s="588"/>
      <c r="H5" s="752"/>
      <c r="I5" s="588"/>
      <c r="J5" s="752"/>
      <c r="K5" s="1635"/>
      <c r="L5" s="752"/>
      <c r="M5" s="588"/>
      <c r="Z5" s="505">
        <v>11</v>
      </c>
    </row>
    <row r="6" ht="1.05" customHeight="1">
      <c r="C6" s="509"/>
      <c r="D6" s="509"/>
      <c r="E6" s="522"/>
      <c r="F6" s="614"/>
      <c r="G6" s="1022"/>
      <c r="H6" s="1022"/>
      <c r="I6" s="1022" t="s">
        <v>117</v>
      </c>
      <c r="J6" s="1022"/>
      <c r="K6" s="1022" t="s">
        <v>123</v>
      </c>
      <c r="L6" s="1022"/>
      <c r="Z6" s="505">
        <v>1</v>
      </c>
    </row>
    <row r="7" ht="11.5" customHeight="1">
      <c r="D7" s="711"/>
      <c r="E7" s="2367" t="s">
        <v>105</v>
      </c>
      <c r="F7" s="2368"/>
      <c r="G7" s="2393" t="str">
        <f>IF(G6="","",INDEX(DIFFERENTIATION_UNMERGE_VD,MATCH(G6,DIFFERENTIATION_ID_DIFF,0)))</f>
        <v/>
      </c>
      <c r="H7" s="2394"/>
      <c r="I7" s="2393" t="str">
        <f>IF(I6="","",INDEX(DIFFERENTIATION_UNMERGE_VD,MATCH(I6,DIFFERENTIATION_ID_DIFF,0)))</f>
        <v>Водоотведение</v>
      </c>
      <c r="J7" s="2394"/>
      <c r="K7" s="2393" t="str">
        <f>IF(K6="","",INDEX(DIFFERENTIATION_UNMERGE_VD,MATCH(K6,DIFFERENTIATION_ID_DIFF,0)))</f>
        <v>Транспортировка</v>
      </c>
      <c r="L7" s="2394"/>
      <c r="M7" s="2175"/>
      <c r="N7" s="509"/>
      <c r="Z7" s="505">
        <v>11</v>
      </c>
    </row>
    <row r="8" ht="11.5" customHeight="1">
      <c r="A8" s="704"/>
      <c r="D8" s="711"/>
      <c r="E8" s="2367" t="s">
        <v>566</v>
      </c>
      <c r="F8" s="2368"/>
      <c r="G8" s="2393" t="str">
        <f>IF(G6="","",INDEX(DIFFERENTIATION_UNMERGE_AREA,MATCH(G6,DIFFERENTIATION_ID_DIFF,0)))</f>
        <v/>
      </c>
      <c r="H8" s="2394"/>
      <c r="I8" s="2393" t="str">
        <f>IF(I6="","",INDEX(DIFFERENTIATION_UNMERGE_AREA,MATCH(I6,DIFFERENTIATION_ID_DIFF,0)))</f>
        <v xml:space="preserve">без дифференциации</v>
      </c>
      <c r="J8" s="2394"/>
      <c r="K8" s="2393" t="str">
        <f>IF(K6="","",INDEX(DIFFERENTIATION_UNMERGE_AREA,MATCH(K6,DIFFERENTIATION_ID_DIFF,0)))</f>
        <v xml:space="preserve">без дифференциации</v>
      </c>
      <c r="L8" s="2394"/>
      <c r="M8" s="2199"/>
      <c r="N8" s="509"/>
      <c r="Z8" s="505">
        <v>11</v>
      </c>
    </row>
    <row r="9" ht="11.5" customHeight="1">
      <c r="A9" s="704"/>
      <c r="D9" s="711"/>
      <c r="E9" s="2367" t="s">
        <v>567</v>
      </c>
      <c r="F9" s="2368"/>
      <c r="G9" s="2393" t="str">
        <f>IF(G6="","",INDEX(DIFFERENTIATION_UNMERGE_SYSTEM,MATCH(G6,DIFFERENTIATION_ID_DIFF,0)))</f>
        <v/>
      </c>
      <c r="H9" s="2394"/>
      <c r="I9" s="2393" t="str">
        <f>IF(I6="","",INDEX(DIFFERENTIATION_UNMERGE_SYSTEM,MATCH(I6,DIFFERENTIATION_ID_DIFF,0)))</f>
        <v xml:space="preserve">без дифференциации</v>
      </c>
      <c r="J9" s="2394"/>
      <c r="K9" s="2393" t="str">
        <f>IF(K6="","",INDEX(DIFFERENTIATION_UNMERGE_SYSTEM,MATCH(K6,DIFFERENTIATION_ID_DIFF,0)))</f>
        <v xml:space="preserve">без дифференциации</v>
      </c>
      <c r="L9" s="2394"/>
      <c r="M9" s="2199"/>
      <c r="N9" s="509"/>
      <c r="Z9" s="505">
        <v>11</v>
      </c>
    </row>
    <row r="10" s="1635" customFormat="1" ht="11.5" customHeight="1">
      <c r="A10" s="1021"/>
      <c r="B10" s="511"/>
      <c r="D10" s="2101" t="s">
        <v>302</v>
      </c>
      <c r="E10" s="2102"/>
      <c r="F10" s="2102"/>
      <c r="G10" s="2102"/>
      <c r="H10" s="2102"/>
      <c r="I10" s="2102"/>
      <c r="J10" s="2103"/>
      <c r="K10" s="2269"/>
      <c r="L10" s="2269"/>
      <c r="M10" s="2199"/>
      <c r="N10" s="509"/>
      <c r="Z10" s="758">
        <v>11</v>
      </c>
    </row>
    <row r="11" s="1635" customFormat="1" ht="24" customHeight="1">
      <c r="A11" s="2385"/>
      <c r="B11" s="2385"/>
      <c r="C11" s="657"/>
      <c r="D11" s="703" t="s">
        <v>87</v>
      </c>
      <c r="E11" s="705" t="s">
        <v>809</v>
      </c>
      <c r="F11" s="705" t="s">
        <v>568</v>
      </c>
      <c r="G11" s="465" t="s">
        <v>305</v>
      </c>
      <c r="H11" s="465" t="s">
        <v>392</v>
      </c>
      <c r="I11" s="807" t="s">
        <v>305</v>
      </c>
      <c r="J11" s="808" t="s">
        <v>392</v>
      </c>
      <c r="K11" s="2312" t="s">
        <v>305</v>
      </c>
      <c r="L11" s="2312" t="s">
        <v>392</v>
      </c>
      <c r="M11" s="2232"/>
      <c r="N11" s="658"/>
      <c r="Z11" s="509">
        <v>23</v>
      </c>
    </row>
    <row r="12" s="1642" customFormat="1" ht="10.5" customHeight="1">
      <c r="A12" s="952"/>
      <c r="D12" s="1025" t="s">
        <v>109</v>
      </c>
      <c r="E12" s="1025" t="s">
        <v>110</v>
      </c>
      <c r="F12" s="1025" t="s">
        <v>89</v>
      </c>
      <c r="G12" s="1026" t="str">
        <f>G1&amp;".1"</f>
        <v>4.1</v>
      </c>
      <c r="H12" s="1026" t="str">
        <f>G1&amp;".2"</f>
        <v>4.2</v>
      </c>
      <c r="I12" s="1026" t="str">
        <f>I1&amp;".1"</f>
        <v>4.1</v>
      </c>
      <c r="J12" s="1026" t="str">
        <f>I1&amp;".2"</f>
        <v>4.2</v>
      </c>
      <c r="K12" s="2374" t="str">
        <f>K1&amp;".1"</f>
        <v>4.1</v>
      </c>
      <c r="L12" s="2374" t="str">
        <f>K1&amp;".2"</f>
        <v>4.2</v>
      </c>
      <c r="M12" s="1026"/>
      <c r="Z12" s="511">
        <v>10</v>
      </c>
    </row>
    <row r="13" ht="22.5" hidden="1" customHeight="1">
      <c r="A13" s="2392" t="s">
        <v>810</v>
      </c>
      <c r="D13" s="953" t="s">
        <v>109</v>
      </c>
      <c r="E13" s="279" t="s">
        <v>811</v>
      </c>
      <c r="F13" s="660" t="s">
        <v>812</v>
      </c>
      <c r="G13" s="557"/>
      <c r="H13" s="661"/>
      <c r="I13" s="557"/>
      <c r="J13" s="661"/>
      <c r="K13" s="557"/>
      <c r="L13" s="662"/>
      <c r="M13" s="289" t="s">
        <v>813</v>
      </c>
      <c r="N13" s="720"/>
      <c r="Z13" s="505">
        <v>0</v>
      </c>
    </row>
    <row r="14" ht="22.5" hidden="1" customHeight="1">
      <c r="A14" s="2392"/>
      <c r="D14" s="539" t="s">
        <v>110</v>
      </c>
      <c r="E14" s="279" t="s">
        <v>814</v>
      </c>
      <c r="F14" s="660" t="s">
        <v>815</v>
      </c>
      <c r="G14" s="557"/>
      <c r="H14" s="662"/>
      <c r="I14" s="557"/>
      <c r="J14" s="662"/>
      <c r="K14" s="557"/>
      <c r="L14" s="662"/>
      <c r="M14" s="289" t="s">
        <v>816</v>
      </c>
      <c r="N14" s="720"/>
      <c r="Z14" s="505">
        <v>0</v>
      </c>
    </row>
    <row r="15" s="1635" customFormat="1" ht="78.75" hidden="1" customHeight="1">
      <c r="A15" s="2392"/>
      <c r="B15" s="511"/>
      <c r="D15" s="953" t="s">
        <v>89</v>
      </c>
      <c r="E15" s="707" t="s">
        <v>817</v>
      </c>
      <c r="F15" s="950" t="s">
        <v>308</v>
      </c>
      <c r="G15" s="950" t="s">
        <v>308</v>
      </c>
      <c r="H15" s="106"/>
      <c r="I15" s="950" t="s">
        <v>308</v>
      </c>
      <c r="J15" s="106"/>
      <c r="K15" s="2312" t="s">
        <v>308</v>
      </c>
      <c r="L15" s="2501"/>
      <c r="M15" s="289" t="s">
        <v>818</v>
      </c>
      <c r="N15" s="720"/>
      <c r="Z15" s="758">
        <v>0</v>
      </c>
    </row>
    <row r="16" s="1635" customFormat="1" ht="22.5" hidden="1" customHeight="1">
      <c r="A16" s="2392"/>
      <c r="B16" s="511"/>
      <c r="D16" s="953" t="s">
        <v>326</v>
      </c>
      <c r="E16" s="954" t="s">
        <v>819</v>
      </c>
      <c r="F16" s="950" t="s">
        <v>820</v>
      </c>
      <c r="G16" s="817"/>
      <c r="H16" s="106"/>
      <c r="I16" s="817"/>
      <c r="J16" s="106"/>
      <c r="K16" s="817"/>
      <c r="L16" s="2501"/>
      <c r="M16" s="289"/>
      <c r="N16" s="720"/>
      <c r="Z16" s="758">
        <v>0</v>
      </c>
    </row>
    <row r="17" s="1635" customFormat="1" ht="22.5" hidden="1" customHeight="1">
      <c r="A17" s="2392"/>
      <c r="B17" s="511"/>
      <c r="D17" s="953" t="s">
        <v>334</v>
      </c>
      <c r="E17" s="954" t="s">
        <v>821</v>
      </c>
      <c r="F17" s="950" t="s">
        <v>822</v>
      </c>
      <c r="G17" s="817"/>
      <c r="H17" s="106"/>
      <c r="I17" s="817"/>
      <c r="J17" s="106"/>
      <c r="K17" s="817"/>
      <c r="L17" s="2501"/>
      <c r="M17" s="289"/>
      <c r="N17" s="720"/>
      <c r="Z17" s="758">
        <v>0</v>
      </c>
    </row>
    <row r="18" s="1635" customFormat="1" ht="33.75" hidden="1" customHeight="1">
      <c r="A18" s="2392"/>
      <c r="B18" s="511"/>
      <c r="D18" s="953" t="s">
        <v>336</v>
      </c>
      <c r="E18" s="954" t="s">
        <v>823</v>
      </c>
      <c r="F18" s="950" t="s">
        <v>573</v>
      </c>
      <c r="G18" s="680"/>
      <c r="H18" s="106"/>
      <c r="I18" s="680"/>
      <c r="J18" s="106"/>
      <c r="K18" s="680"/>
      <c r="L18" s="2501"/>
      <c r="M18" s="289"/>
      <c r="N18" s="720"/>
      <c r="Z18" s="758">
        <v>0</v>
      </c>
    </row>
    <row r="19" ht="101.25" hidden="1" customHeight="1">
      <c r="A19" s="2392"/>
      <c r="D19" s="953" t="s">
        <v>90</v>
      </c>
      <c r="E19" s="279" t="s">
        <v>824</v>
      </c>
      <c r="F19" s="660" t="s">
        <v>548</v>
      </c>
      <c r="G19" s="663"/>
      <c r="H19" s="662"/>
      <c r="I19" s="955"/>
      <c r="J19" s="662"/>
      <c r="K19" s="2517"/>
      <c r="L19" s="662"/>
      <c r="M19" s="289" t="s">
        <v>825</v>
      </c>
      <c r="N19" s="720"/>
      <c r="Z19" s="505">
        <v>0</v>
      </c>
    </row>
    <row r="20" s="1635" customFormat="1" ht="18.75" hidden="1" customHeight="1">
      <c r="A20" s="2392"/>
      <c r="C20" s="956"/>
      <c r="D20" s="953" t="s">
        <v>756</v>
      </c>
      <c r="E20" s="954" t="s">
        <v>826</v>
      </c>
      <c r="F20" s="950" t="s">
        <v>308</v>
      </c>
      <c r="G20" s="950" t="s">
        <v>308</v>
      </c>
      <c r="H20" s="949" t="s">
        <v>308</v>
      </c>
      <c r="I20" s="950" t="s">
        <v>308</v>
      </c>
      <c r="J20" s="949" t="s">
        <v>308</v>
      </c>
      <c r="K20" s="2312" t="s">
        <v>308</v>
      </c>
      <c r="L20" s="2260" t="s">
        <v>308</v>
      </c>
      <c r="M20" s="948"/>
      <c r="N20" s="720"/>
      <c r="Y20" s="675"/>
      <c r="Z20" s="758">
        <v>0</v>
      </c>
    </row>
    <row r="21" s="1635" customFormat="1" ht="33.75" hidden="1" customHeight="1">
      <c r="A21" s="2392"/>
      <c r="C21" s="956"/>
      <c r="D21" s="953" t="s">
        <v>759</v>
      </c>
      <c r="E21" s="576" t="s">
        <v>827</v>
      </c>
      <c r="F21" s="950" t="s">
        <v>828</v>
      </c>
      <c r="G21" s="680"/>
      <c r="H21" s="106"/>
      <c r="I21" s="680"/>
      <c r="J21" s="106"/>
      <c r="K21" s="680"/>
      <c r="L21" s="2501"/>
      <c r="M21" s="948"/>
      <c r="N21" s="720"/>
      <c r="Y21" s="675"/>
      <c r="Z21" s="758">
        <v>0</v>
      </c>
    </row>
    <row r="22" s="1635" customFormat="1" ht="33.75" hidden="1" customHeight="1">
      <c r="A22" s="2392"/>
      <c r="C22" s="956"/>
      <c r="D22" s="953" t="s">
        <v>762</v>
      </c>
      <c r="E22" s="576" t="s">
        <v>829</v>
      </c>
      <c r="F22" s="950" t="s">
        <v>830</v>
      </c>
      <c r="G22" s="680"/>
      <c r="H22" s="106"/>
      <c r="I22" s="680"/>
      <c r="J22" s="106"/>
      <c r="K22" s="680"/>
      <c r="L22" s="2501"/>
      <c r="M22" s="948"/>
      <c r="N22" s="720"/>
      <c r="Y22" s="675"/>
      <c r="Z22" s="758">
        <v>0</v>
      </c>
    </row>
    <row r="23" s="1635" customFormat="1" ht="22.5" hidden="1" customHeight="1">
      <c r="A23" s="2392"/>
      <c r="C23" s="956"/>
      <c r="D23" s="953" t="s">
        <v>798</v>
      </c>
      <c r="E23" s="954" t="s">
        <v>831</v>
      </c>
      <c r="F23" s="950" t="s">
        <v>308</v>
      </c>
      <c r="G23" s="950" t="s">
        <v>308</v>
      </c>
      <c r="H23" s="949" t="s">
        <v>308</v>
      </c>
      <c r="I23" s="950" t="s">
        <v>308</v>
      </c>
      <c r="J23" s="949" t="s">
        <v>308</v>
      </c>
      <c r="K23" s="2312" t="s">
        <v>308</v>
      </c>
      <c r="L23" s="2260" t="s">
        <v>308</v>
      </c>
      <c r="M23" s="948"/>
      <c r="N23" s="720"/>
      <c r="Y23" s="675"/>
      <c r="Z23" s="758">
        <v>0</v>
      </c>
    </row>
    <row r="24" s="1635" customFormat="1" ht="22.5" hidden="1" customHeight="1">
      <c r="A24" s="2392"/>
      <c r="C24" s="956"/>
      <c r="D24" s="953" t="s">
        <v>832</v>
      </c>
      <c r="E24" s="576" t="s">
        <v>833</v>
      </c>
      <c r="F24" s="950" t="s">
        <v>834</v>
      </c>
      <c r="G24" s="680"/>
      <c r="H24" s="686"/>
      <c r="I24" s="680"/>
      <c r="J24" s="686"/>
      <c r="K24" s="680"/>
      <c r="L24" s="2353"/>
      <c r="M24" s="948"/>
      <c r="N24" s="720"/>
      <c r="Y24" s="675"/>
      <c r="Z24" s="758">
        <v>0</v>
      </c>
    </row>
    <row r="25" s="1635" customFormat="1" ht="22.5" hidden="1" customHeight="1">
      <c r="A25" s="2392"/>
      <c r="C25" s="956"/>
      <c r="D25" s="953" t="s">
        <v>835</v>
      </c>
      <c r="E25" s="576" t="s">
        <v>836</v>
      </c>
      <c r="F25" s="950" t="s">
        <v>308</v>
      </c>
      <c r="G25" s="950" t="s">
        <v>308</v>
      </c>
      <c r="H25" s="949" t="s">
        <v>308</v>
      </c>
      <c r="I25" s="950" t="s">
        <v>308</v>
      </c>
      <c r="J25" s="949" t="s">
        <v>308</v>
      </c>
      <c r="K25" s="2312" t="s">
        <v>308</v>
      </c>
      <c r="L25" s="2260" t="s">
        <v>308</v>
      </c>
      <c r="M25" s="948"/>
      <c r="N25" s="720"/>
      <c r="Y25" s="675"/>
      <c r="Z25" s="758">
        <v>0</v>
      </c>
    </row>
    <row r="26" s="1635" customFormat="1" ht="18.75" hidden="1" customHeight="1">
      <c r="A26" s="2392"/>
      <c r="C26" s="956"/>
      <c r="D26" s="953" t="s">
        <v>837</v>
      </c>
      <c r="E26" s="553" t="s">
        <v>838</v>
      </c>
      <c r="F26" s="950" t="s">
        <v>839</v>
      </c>
      <c r="G26" s="680"/>
      <c r="H26" s="686"/>
      <c r="I26" s="680"/>
      <c r="J26" s="686"/>
      <c r="K26" s="680"/>
      <c r="L26" s="2353"/>
      <c r="M26" s="948"/>
      <c r="N26" s="720"/>
      <c r="Y26" s="675"/>
      <c r="Z26" s="758">
        <v>0</v>
      </c>
    </row>
    <row r="27" s="1635" customFormat="1" ht="18.75" hidden="1" customHeight="1">
      <c r="A27" s="2392"/>
      <c r="C27" s="956"/>
      <c r="D27" s="953" t="s">
        <v>840</v>
      </c>
      <c r="E27" s="553" t="s">
        <v>841</v>
      </c>
      <c r="F27" s="950" t="s">
        <v>842</v>
      </c>
      <c r="G27" s="680"/>
      <c r="H27" s="686"/>
      <c r="I27" s="680"/>
      <c r="J27" s="686"/>
      <c r="K27" s="680"/>
      <c r="L27" s="2353"/>
      <c r="M27" s="948"/>
      <c r="N27" s="720"/>
      <c r="Y27" s="675"/>
      <c r="Z27" s="758">
        <v>0</v>
      </c>
    </row>
    <row r="28" s="1635" customFormat="1" ht="18.75" hidden="1" customHeight="1">
      <c r="A28" s="2392"/>
      <c r="C28" s="956"/>
      <c r="D28" s="953" t="s">
        <v>843</v>
      </c>
      <c r="E28" s="576" t="s">
        <v>844</v>
      </c>
      <c r="F28" s="950" t="s">
        <v>308</v>
      </c>
      <c r="G28" s="950" t="s">
        <v>308</v>
      </c>
      <c r="H28" s="949" t="s">
        <v>308</v>
      </c>
      <c r="I28" s="950" t="s">
        <v>308</v>
      </c>
      <c r="J28" s="949" t="s">
        <v>308</v>
      </c>
      <c r="K28" s="2312" t="s">
        <v>308</v>
      </c>
      <c r="L28" s="2260" t="s">
        <v>308</v>
      </c>
      <c r="M28" s="948"/>
      <c r="N28" s="720"/>
      <c r="Y28" s="675"/>
      <c r="Z28" s="758">
        <v>0</v>
      </c>
    </row>
    <row r="29" s="1635" customFormat="1" ht="18.75" hidden="1" customHeight="1">
      <c r="A29" s="2392"/>
      <c r="C29" s="956"/>
      <c r="D29" s="953" t="s">
        <v>845</v>
      </c>
      <c r="E29" s="553" t="s">
        <v>838</v>
      </c>
      <c r="F29" s="950" t="s">
        <v>846</v>
      </c>
      <c r="G29" s="680"/>
      <c r="H29" s="686"/>
      <c r="I29" s="680"/>
      <c r="J29" s="686"/>
      <c r="K29" s="680"/>
      <c r="L29" s="2353"/>
      <c r="M29" s="948"/>
      <c r="N29" s="720"/>
      <c r="Y29" s="675"/>
      <c r="Z29" s="758">
        <v>0</v>
      </c>
    </row>
    <row r="30" s="1635" customFormat="1" ht="18.75" hidden="1" customHeight="1">
      <c r="A30" s="2392"/>
      <c r="C30" s="956"/>
      <c r="D30" s="953" t="s">
        <v>847</v>
      </c>
      <c r="E30" s="553" t="s">
        <v>848</v>
      </c>
      <c r="F30" s="950" t="s">
        <v>849</v>
      </c>
      <c r="G30" s="680"/>
      <c r="H30" s="686"/>
      <c r="I30" s="680"/>
      <c r="J30" s="686"/>
      <c r="K30" s="680"/>
      <c r="L30" s="2353"/>
      <c r="M30" s="948"/>
      <c r="N30" s="720"/>
      <c r="Y30" s="675"/>
      <c r="Z30" s="758">
        <v>0</v>
      </c>
    </row>
    <row r="31" ht="126.75" hidden="1" customHeight="1">
      <c r="A31" s="2392"/>
      <c r="D31" s="953" t="s">
        <v>111</v>
      </c>
      <c r="E31" s="279" t="s">
        <v>850</v>
      </c>
      <c r="F31" s="660" t="s">
        <v>560</v>
      </c>
      <c r="G31" s="557"/>
      <c r="H31" s="662"/>
      <c r="I31" s="557"/>
      <c r="J31" s="662"/>
      <c r="K31" s="557"/>
      <c r="L31" s="662"/>
      <c r="M31" s="289" t="s">
        <v>851</v>
      </c>
      <c r="N31" s="720"/>
      <c r="Z31" s="505">
        <v>0</v>
      </c>
    </row>
    <row r="32" ht="56.25" hidden="1" customHeight="1">
      <c r="A32" s="2392"/>
      <c r="D32" s="953" t="s">
        <v>91</v>
      </c>
      <c r="E32" s="279" t="s">
        <v>852</v>
      </c>
      <c r="F32" s="539" t="s">
        <v>822</v>
      </c>
      <c r="G32" s="557"/>
      <c r="H32" s="662"/>
      <c r="I32" s="557"/>
      <c r="J32" s="662"/>
      <c r="K32" s="557"/>
      <c r="L32" s="662"/>
      <c r="M32" s="289" t="s">
        <v>853</v>
      </c>
      <c r="N32" s="720"/>
      <c r="Z32" s="505">
        <v>0</v>
      </c>
    </row>
    <row r="33" ht="11.25" hidden="1" customHeight="1">
      <c r="A33" s="2392"/>
      <c r="E33" s="664"/>
      <c r="F33" s="181"/>
      <c r="G33" s="181"/>
      <c r="H33" s="181"/>
      <c r="I33" s="181"/>
      <c r="J33" s="181"/>
      <c r="K33" s="1064"/>
      <c r="L33" s="1064"/>
      <c r="M33" s="181"/>
      <c r="Z33" s="505">
        <v>0</v>
      </c>
    </row>
    <row r="34" ht="12.75" hidden="1" customHeight="1">
      <c r="A34" s="2392"/>
      <c r="D34" s="65">
        <v>1</v>
      </c>
      <c r="E34" s="335" t="s">
        <v>854</v>
      </c>
      <c r="K34" s="1635"/>
      <c r="L34" s="1635"/>
      <c r="Z34" s="505">
        <v>0</v>
      </c>
    </row>
    <row r="35" ht="11.25" hidden="1" customHeight="1">
      <c r="A35" s="2392"/>
      <c r="D35" s="369"/>
      <c r="E35" s="335" t="s">
        <v>855</v>
      </c>
      <c r="K35" s="1635"/>
      <c r="L35" s="1635"/>
      <c r="Z35" s="505">
        <v>0</v>
      </c>
    </row>
    <row r="36" s="1635" customFormat="1" ht="11.5" customHeight="1">
      <c r="A36" s="1033"/>
      <c r="B36" s="518"/>
      <c r="D36" s="1034"/>
      <c r="E36" s="1035"/>
      <c r="K36" s="1635"/>
      <c r="L36" s="1635"/>
      <c r="Z36" s="509">
        <v>11</v>
      </c>
    </row>
    <row r="37" s="1635" customFormat="1" ht="22.5" hidden="1" customHeight="1">
      <c r="A37" s="2392" t="s">
        <v>856</v>
      </c>
      <c r="B37" s="511"/>
      <c r="D37" s="953">
        <v>1</v>
      </c>
      <c r="E37" s="707" t="s">
        <v>857</v>
      </c>
      <c r="F37" s="660" t="s">
        <v>812</v>
      </c>
      <c r="G37" s="557"/>
      <c r="H37" s="519"/>
      <c r="I37" s="557"/>
      <c r="J37" s="519"/>
      <c r="K37" s="557"/>
      <c r="L37" s="519"/>
      <c r="M37" s="289" t="s">
        <v>858</v>
      </c>
      <c r="Z37" s="758">
        <v>0</v>
      </c>
    </row>
    <row r="38" s="1635" customFormat="1" ht="22.5" hidden="1" customHeight="1">
      <c r="A38" s="2392"/>
      <c r="B38" s="511"/>
      <c r="D38" s="669" t="s">
        <v>110</v>
      </c>
      <c r="E38" s="1032" t="s">
        <v>859</v>
      </c>
      <c r="F38" s="1036" t="s">
        <v>548</v>
      </c>
      <c r="G38" s="1036" t="s">
        <v>548</v>
      </c>
      <c r="H38" s="1030"/>
      <c r="I38" s="1036" t="s">
        <v>548</v>
      </c>
      <c r="J38" s="1030"/>
      <c r="K38" s="1036" t="s">
        <v>548</v>
      </c>
      <c r="L38" s="1030"/>
      <c r="M38" s="1031"/>
      <c r="Z38" s="758">
        <v>0</v>
      </c>
    </row>
    <row r="39" s="1635" customFormat="1" ht="33.75" hidden="1" customHeight="1">
      <c r="A39" s="2392"/>
      <c r="B39" s="511"/>
      <c r="D39" s="665" t="s">
        <v>714</v>
      </c>
      <c r="E39" s="723" t="s">
        <v>860</v>
      </c>
      <c r="F39" s="660" t="s">
        <v>861</v>
      </c>
      <c r="G39" s="668"/>
      <c r="H39" s="1023"/>
      <c r="I39" s="668"/>
      <c r="J39" s="1023"/>
      <c r="K39" s="1169"/>
      <c r="L39" s="1023"/>
      <c r="M39" s="289" t="s">
        <v>862</v>
      </c>
      <c r="Z39" s="758">
        <v>0</v>
      </c>
    </row>
    <row r="40" s="1635" customFormat="1" ht="33.75" hidden="1" customHeight="1">
      <c r="A40" s="2392"/>
      <c r="B40" s="511"/>
      <c r="D40" s="665" t="s">
        <v>717</v>
      </c>
      <c r="E40" s="723" t="s">
        <v>863</v>
      </c>
      <c r="F40" s="1027" t="s">
        <v>864</v>
      </c>
      <c r="G40" s="741"/>
      <c r="H40" s="1023"/>
      <c r="I40" s="741"/>
      <c r="J40" s="1023"/>
      <c r="K40" s="741"/>
      <c r="L40" s="1023"/>
      <c r="M40" s="289" t="s">
        <v>865</v>
      </c>
      <c r="Z40" s="758">
        <v>0</v>
      </c>
    </row>
    <row r="41" s="1635" customFormat="1" ht="22.5" hidden="1" customHeight="1">
      <c r="A41" s="2392"/>
      <c r="B41" s="511"/>
      <c r="D41" s="665" t="s">
        <v>89</v>
      </c>
      <c r="E41" s="722" t="s">
        <v>866</v>
      </c>
      <c r="F41" s="660" t="s">
        <v>548</v>
      </c>
      <c r="G41" s="660" t="s">
        <v>548</v>
      </c>
      <c r="H41" s="1024"/>
      <c r="I41" s="660" t="s">
        <v>548</v>
      </c>
      <c r="J41" s="1024"/>
      <c r="K41" s="2104" t="s">
        <v>548</v>
      </c>
      <c r="L41" s="1024"/>
      <c r="M41" s="302"/>
      <c r="Z41" s="758">
        <v>0</v>
      </c>
    </row>
    <row r="42" s="1635" customFormat="1" ht="45" hidden="1" customHeight="1">
      <c r="A42" s="2392"/>
      <c r="B42" s="511"/>
      <c r="D42" s="665" t="s">
        <v>326</v>
      </c>
      <c r="E42" s="723" t="s">
        <v>867</v>
      </c>
      <c r="F42" s="660" t="s">
        <v>560</v>
      </c>
      <c r="G42" s="557"/>
      <c r="H42" s="1024"/>
      <c r="I42" s="557"/>
      <c r="J42" s="1024"/>
      <c r="K42" s="557"/>
      <c r="L42" s="1024"/>
      <c r="M42" s="302" t="s">
        <v>868</v>
      </c>
      <c r="Z42" s="758">
        <v>0</v>
      </c>
    </row>
    <row r="43" s="1635" customFormat="1" ht="45" hidden="1" customHeight="1">
      <c r="A43" s="2392"/>
      <c r="B43" s="511"/>
      <c r="D43" s="665" t="s">
        <v>334</v>
      </c>
      <c r="E43" s="667" t="s">
        <v>869</v>
      </c>
      <c r="F43" s="1028" t="s">
        <v>560</v>
      </c>
      <c r="G43" s="742"/>
      <c r="H43" s="1023"/>
      <c r="I43" s="742"/>
      <c r="J43" s="1023"/>
      <c r="K43" s="742"/>
      <c r="L43" s="1023"/>
      <c r="M43" s="302" t="s">
        <v>870</v>
      </c>
      <c r="Z43" s="758">
        <v>0</v>
      </c>
    </row>
    <row r="44" s="1635" customFormat="1" ht="11.25" hidden="1" customHeight="1">
      <c r="A44" s="2392"/>
      <c r="B44" s="511"/>
      <c r="D44" s="665" t="s">
        <v>90</v>
      </c>
      <c r="E44" s="666" t="s">
        <v>871</v>
      </c>
      <c r="F44" s="660" t="s">
        <v>861</v>
      </c>
      <c r="G44" s="668"/>
      <c r="H44" s="1023"/>
      <c r="I44" s="668"/>
      <c r="J44" s="1023"/>
      <c r="K44" s="1169"/>
      <c r="L44" s="1023"/>
      <c r="M44" s="289"/>
      <c r="Z44" s="758">
        <v>0</v>
      </c>
    </row>
    <row r="45" s="1635" customFormat="1" ht="11.25" hidden="1" customHeight="1">
      <c r="A45" s="2392"/>
      <c r="B45" s="511"/>
      <c r="D45" s="665" t="s">
        <v>756</v>
      </c>
      <c r="E45" s="667" t="s">
        <v>872</v>
      </c>
      <c r="F45" s="660" t="s">
        <v>861</v>
      </c>
      <c r="G45" s="668"/>
      <c r="H45" s="1023"/>
      <c r="I45" s="668"/>
      <c r="J45" s="1023"/>
      <c r="K45" s="1169"/>
      <c r="L45" s="1023"/>
      <c r="M45" s="289"/>
      <c r="Z45" s="758">
        <v>0</v>
      </c>
    </row>
    <row r="46" s="1635" customFormat="1" ht="11.25" hidden="1" customHeight="1">
      <c r="A46" s="2392"/>
      <c r="B46" s="511"/>
      <c r="D46" s="665" t="s">
        <v>798</v>
      </c>
      <c r="E46" s="667" t="s">
        <v>873</v>
      </c>
      <c r="F46" s="660" t="s">
        <v>861</v>
      </c>
      <c r="G46" s="668"/>
      <c r="H46" s="1023"/>
      <c r="I46" s="668"/>
      <c r="J46" s="1023"/>
      <c r="K46" s="1169"/>
      <c r="L46" s="1023"/>
      <c r="M46" s="289"/>
      <c r="Z46" s="758">
        <v>0</v>
      </c>
    </row>
    <row r="47" s="1635" customFormat="1" ht="11.25" hidden="1" customHeight="1">
      <c r="A47" s="2392"/>
      <c r="B47" s="511"/>
      <c r="D47" s="665" t="s">
        <v>801</v>
      </c>
      <c r="E47" s="667" t="s">
        <v>874</v>
      </c>
      <c r="F47" s="660" t="s">
        <v>861</v>
      </c>
      <c r="G47" s="668"/>
      <c r="H47" s="1023"/>
      <c r="I47" s="668"/>
      <c r="J47" s="1023"/>
      <c r="K47" s="1169"/>
      <c r="L47" s="1023"/>
      <c r="M47" s="289"/>
      <c r="Z47" s="758">
        <v>0</v>
      </c>
    </row>
    <row r="48" s="1635" customFormat="1" ht="11.25" hidden="1" customHeight="1">
      <c r="A48" s="2392"/>
      <c r="B48" s="511"/>
      <c r="D48" s="665" t="s">
        <v>875</v>
      </c>
      <c r="E48" s="671" t="s">
        <v>876</v>
      </c>
      <c r="F48" s="660" t="s">
        <v>861</v>
      </c>
      <c r="G48" s="668"/>
      <c r="H48" s="1023"/>
      <c r="I48" s="668"/>
      <c r="J48" s="1023"/>
      <c r="K48" s="1169"/>
      <c r="L48" s="1023"/>
      <c r="M48" s="289"/>
      <c r="Z48" s="758">
        <v>0</v>
      </c>
    </row>
    <row r="49" s="1635" customFormat="1" ht="11.25" hidden="1" customHeight="1">
      <c r="A49" s="2392"/>
      <c r="B49" s="511"/>
      <c r="D49" s="665" t="s">
        <v>877</v>
      </c>
      <c r="E49" s="671" t="s">
        <v>878</v>
      </c>
      <c r="F49" s="660" t="s">
        <v>861</v>
      </c>
      <c r="G49" s="668"/>
      <c r="H49" s="1023"/>
      <c r="I49" s="668"/>
      <c r="J49" s="1023"/>
      <c r="K49" s="1169"/>
      <c r="L49" s="1023"/>
      <c r="M49" s="289"/>
      <c r="Z49" s="758">
        <v>0</v>
      </c>
    </row>
    <row r="50" s="1635" customFormat="1" ht="11.25" hidden="1" customHeight="1">
      <c r="A50" s="2392"/>
      <c r="B50" s="511"/>
      <c r="D50" s="665" t="s">
        <v>879</v>
      </c>
      <c r="E50" s="667" t="s">
        <v>880</v>
      </c>
      <c r="F50" s="660" t="s">
        <v>861</v>
      </c>
      <c r="G50" s="668"/>
      <c r="H50" s="1023"/>
      <c r="I50" s="668"/>
      <c r="J50" s="1023"/>
      <c r="K50" s="1169"/>
      <c r="L50" s="1023"/>
      <c r="M50" s="289"/>
      <c r="Z50" s="758">
        <v>0</v>
      </c>
    </row>
    <row r="51" s="1635" customFormat="1" ht="11.25" hidden="1" customHeight="1">
      <c r="A51" s="2392"/>
      <c r="B51" s="511"/>
      <c r="D51" s="665" t="s">
        <v>881</v>
      </c>
      <c r="E51" s="667" t="s">
        <v>882</v>
      </c>
      <c r="F51" s="660" t="s">
        <v>861</v>
      </c>
      <c r="G51" s="668"/>
      <c r="H51" s="1023"/>
      <c r="I51" s="668"/>
      <c r="J51" s="1023"/>
      <c r="K51" s="1169"/>
      <c r="L51" s="1023"/>
      <c r="M51" s="289"/>
      <c r="Z51" s="758">
        <v>0</v>
      </c>
    </row>
    <row r="52" s="1635" customFormat="1" ht="45" hidden="1" customHeight="1">
      <c r="A52" s="2392"/>
      <c r="B52" s="511"/>
      <c r="D52" s="665" t="s">
        <v>111</v>
      </c>
      <c r="E52" s="666" t="s">
        <v>883</v>
      </c>
      <c r="F52" s="660" t="s">
        <v>861</v>
      </c>
      <c r="G52" s="668"/>
      <c r="H52" s="1023"/>
      <c r="I52" s="668"/>
      <c r="J52" s="1023"/>
      <c r="K52" s="1169"/>
      <c r="L52" s="1023"/>
      <c r="M52" s="289"/>
      <c r="Z52" s="758">
        <v>0</v>
      </c>
    </row>
    <row r="53" s="1635" customFormat="1" ht="11.25" hidden="1" customHeight="1">
      <c r="A53" s="2392"/>
      <c r="B53" s="511"/>
      <c r="D53" s="665" t="s">
        <v>315</v>
      </c>
      <c r="E53" s="667" t="s">
        <v>872</v>
      </c>
      <c r="F53" s="660" t="s">
        <v>861</v>
      </c>
      <c r="G53" s="668"/>
      <c r="H53" s="1023"/>
      <c r="I53" s="668"/>
      <c r="J53" s="1023"/>
      <c r="K53" s="1169"/>
      <c r="L53" s="1023"/>
      <c r="M53" s="289"/>
      <c r="Z53" s="758">
        <v>0</v>
      </c>
    </row>
    <row r="54" s="1635" customFormat="1" ht="11.25" hidden="1" customHeight="1">
      <c r="A54" s="2392"/>
      <c r="B54" s="511"/>
      <c r="D54" s="665" t="s">
        <v>884</v>
      </c>
      <c r="E54" s="667" t="s">
        <v>873</v>
      </c>
      <c r="F54" s="660" t="s">
        <v>861</v>
      </c>
      <c r="G54" s="668"/>
      <c r="H54" s="1023"/>
      <c r="I54" s="668"/>
      <c r="J54" s="1023"/>
      <c r="K54" s="1169"/>
      <c r="L54" s="1023"/>
      <c r="M54" s="289"/>
      <c r="Z54" s="758">
        <v>0</v>
      </c>
    </row>
    <row r="55" s="1635" customFormat="1" ht="11.25" hidden="1" customHeight="1">
      <c r="A55" s="2392"/>
      <c r="B55" s="511"/>
      <c r="D55" s="665" t="s">
        <v>885</v>
      </c>
      <c r="E55" s="667" t="s">
        <v>874</v>
      </c>
      <c r="F55" s="660" t="s">
        <v>861</v>
      </c>
      <c r="G55" s="668"/>
      <c r="H55" s="1023"/>
      <c r="I55" s="668"/>
      <c r="J55" s="1023"/>
      <c r="K55" s="1169"/>
      <c r="L55" s="1023"/>
      <c r="M55" s="289"/>
      <c r="Z55" s="758">
        <v>0</v>
      </c>
    </row>
    <row r="56" s="1635" customFormat="1" ht="11.25" hidden="1" customHeight="1">
      <c r="A56" s="2392"/>
      <c r="B56" s="511"/>
      <c r="D56" s="665" t="s">
        <v>886</v>
      </c>
      <c r="E56" s="671" t="s">
        <v>876</v>
      </c>
      <c r="F56" s="660" t="s">
        <v>861</v>
      </c>
      <c r="G56" s="668"/>
      <c r="H56" s="1023"/>
      <c r="I56" s="668"/>
      <c r="J56" s="1023"/>
      <c r="K56" s="1169"/>
      <c r="L56" s="1023"/>
      <c r="M56" s="289"/>
      <c r="Z56" s="758">
        <v>0</v>
      </c>
    </row>
    <row r="57" s="1635" customFormat="1" ht="11.25" hidden="1" customHeight="1">
      <c r="A57" s="2392"/>
      <c r="B57" s="511"/>
      <c r="D57" s="665" t="s">
        <v>887</v>
      </c>
      <c r="E57" s="671" t="s">
        <v>878</v>
      </c>
      <c r="F57" s="660" t="s">
        <v>861</v>
      </c>
      <c r="G57" s="668"/>
      <c r="H57" s="1023"/>
      <c r="I57" s="668"/>
      <c r="J57" s="1023"/>
      <c r="K57" s="1169"/>
      <c r="L57" s="1023"/>
      <c r="M57" s="289"/>
      <c r="Z57" s="758">
        <v>0</v>
      </c>
    </row>
    <row r="58" s="1635" customFormat="1" ht="11.25" hidden="1" customHeight="1">
      <c r="A58" s="2392"/>
      <c r="B58" s="511"/>
      <c r="D58" s="665" t="s">
        <v>888</v>
      </c>
      <c r="E58" s="667" t="s">
        <v>880</v>
      </c>
      <c r="F58" s="660" t="s">
        <v>861</v>
      </c>
      <c r="G58" s="668"/>
      <c r="H58" s="1023"/>
      <c r="I58" s="668"/>
      <c r="J58" s="1023"/>
      <c r="K58" s="1169"/>
      <c r="L58" s="1023"/>
      <c r="M58" s="289"/>
      <c r="Z58" s="758">
        <v>0</v>
      </c>
    </row>
    <row r="59" s="1635" customFormat="1" ht="11.25" hidden="1" customHeight="1">
      <c r="A59" s="2392"/>
      <c r="B59" s="511"/>
      <c r="D59" s="665" t="s">
        <v>889</v>
      </c>
      <c r="E59" s="667" t="s">
        <v>882</v>
      </c>
      <c r="F59" s="660" t="s">
        <v>861</v>
      </c>
      <c r="G59" s="668"/>
      <c r="H59" s="1023"/>
      <c r="I59" s="668"/>
      <c r="J59" s="1023"/>
      <c r="K59" s="1169"/>
      <c r="L59" s="1023"/>
      <c r="M59" s="289"/>
      <c r="Z59" s="758">
        <v>0</v>
      </c>
    </row>
    <row r="60" s="1635" customFormat="1" ht="33.75" hidden="1" customHeight="1">
      <c r="A60" s="2392"/>
      <c r="B60" s="511"/>
      <c r="D60" s="665" t="s">
        <v>91</v>
      </c>
      <c r="E60" s="666" t="s">
        <v>890</v>
      </c>
      <c r="F60" s="721" t="s">
        <v>560</v>
      </c>
      <c r="G60" s="742"/>
      <c r="H60" s="1023"/>
      <c r="I60" s="742"/>
      <c r="J60" s="1023"/>
      <c r="K60" s="742"/>
      <c r="L60" s="1023"/>
      <c r="M60" s="302" t="s">
        <v>891</v>
      </c>
      <c r="Z60" s="758">
        <v>0</v>
      </c>
    </row>
    <row r="61" s="1635" customFormat="1" ht="33.75" hidden="1" customHeight="1">
      <c r="A61" s="2392"/>
      <c r="B61" s="511"/>
      <c r="D61" s="665" t="s">
        <v>92</v>
      </c>
      <c r="E61" s="666" t="s">
        <v>892</v>
      </c>
      <c r="F61" s="726" t="s">
        <v>822</v>
      </c>
      <c r="G61" s="668"/>
      <c r="H61" s="1023"/>
      <c r="I61" s="668"/>
      <c r="J61" s="1023"/>
      <c r="K61" s="1169"/>
      <c r="L61" s="1023"/>
      <c r="M61" s="289"/>
      <c r="Z61" s="758">
        <v>0</v>
      </c>
    </row>
    <row r="62" s="1635" customFormat="1" ht="22.5" hidden="1" customHeight="1">
      <c r="A62" s="2392"/>
      <c r="B62" s="511" t="s">
        <v>590</v>
      </c>
      <c r="D62" s="665" t="s">
        <v>112</v>
      </c>
      <c r="E62" s="666" t="s">
        <v>893</v>
      </c>
      <c r="F62" s="726" t="s">
        <v>308</v>
      </c>
      <c r="G62" s="382"/>
      <c r="H62" s="1023"/>
      <c r="I62" s="382"/>
      <c r="J62" s="1023"/>
      <c r="K62" s="1164"/>
      <c r="L62" s="1023"/>
      <c r="M62" s="289" t="s">
        <v>634</v>
      </c>
      <c r="Z62" s="758">
        <v>0</v>
      </c>
    </row>
    <row r="63" s="1635" customFormat="1" ht="45" hidden="1" customHeight="1">
      <c r="A63" s="2392"/>
      <c r="B63" s="511" t="s">
        <v>590</v>
      </c>
      <c r="D63" s="665" t="s">
        <v>894</v>
      </c>
      <c r="E63" s="667" t="s">
        <v>895</v>
      </c>
      <c r="F63" s="721" t="s">
        <v>308</v>
      </c>
      <c r="G63" s="382"/>
      <c r="H63" s="1023"/>
      <c r="I63" s="382"/>
      <c r="J63" s="1023"/>
      <c r="K63" s="1164"/>
      <c r="L63" s="1023"/>
      <c r="M63" s="289" t="s">
        <v>634</v>
      </c>
      <c r="Z63" s="758">
        <v>0</v>
      </c>
    </row>
    <row r="64" s="1635" customFormat="1" ht="11.5" customHeight="1">
      <c r="A64" s="1033"/>
      <c r="B64" s="518"/>
      <c r="D64" s="1034"/>
      <c r="E64" s="1035"/>
      <c r="K64" s="1635"/>
      <c r="L64" s="1635"/>
      <c r="Z64" s="509">
        <v>11</v>
      </c>
    </row>
    <row r="65" s="1635" customFormat="1" ht="22.5" hidden="1" customHeight="1">
      <c r="A65" s="2392" t="s">
        <v>896</v>
      </c>
      <c r="B65" s="511"/>
      <c r="D65" s="665">
        <v>1</v>
      </c>
      <c r="E65" s="744" t="s">
        <v>897</v>
      </c>
      <c r="F65" s="740" t="s">
        <v>812</v>
      </c>
      <c r="G65" s="741"/>
      <c r="H65" s="1029"/>
      <c r="I65" s="741"/>
      <c r="J65" s="1029"/>
      <c r="K65" s="741"/>
      <c r="L65" s="1029"/>
      <c r="M65" s="301" t="s">
        <v>898</v>
      </c>
      <c r="Z65" s="758">
        <v>0</v>
      </c>
    </row>
    <row r="66" s="1635" customFormat="1" ht="56.25" hidden="1" customHeight="1">
      <c r="A66" s="2392"/>
      <c r="B66" s="511"/>
      <c r="D66" s="743" t="s">
        <v>110</v>
      </c>
      <c r="E66" s="707" t="s">
        <v>899</v>
      </c>
      <c r="F66" s="660" t="s">
        <v>548</v>
      </c>
      <c r="G66" s="660" t="s">
        <v>548</v>
      </c>
      <c r="H66" s="519"/>
      <c r="I66" s="660" t="s">
        <v>548</v>
      </c>
      <c r="J66" s="519"/>
      <c r="K66" s="2104" t="s">
        <v>548</v>
      </c>
      <c r="L66" s="519"/>
      <c r="M66" s="289"/>
      <c r="Z66" s="758">
        <v>0</v>
      </c>
    </row>
    <row r="67" s="1635" customFormat="1" ht="33.75" hidden="1" customHeight="1">
      <c r="A67" s="2392"/>
      <c r="B67" s="511"/>
      <c r="D67" s="743" t="s">
        <v>711</v>
      </c>
      <c r="E67" s="954" t="s">
        <v>900</v>
      </c>
      <c r="F67" s="660" t="s">
        <v>864</v>
      </c>
      <c r="G67" s="727"/>
      <c r="H67" s="519"/>
      <c r="I67" s="727"/>
      <c r="J67" s="519"/>
      <c r="K67" s="727"/>
      <c r="L67" s="519"/>
      <c r="M67" s="289"/>
      <c r="Z67" s="758">
        <v>0</v>
      </c>
    </row>
    <row r="68" s="1635" customFormat="1" ht="22.5" hidden="1" customHeight="1">
      <c r="A68" s="2392"/>
      <c r="B68" s="511"/>
      <c r="D68" s="743" t="s">
        <v>309</v>
      </c>
      <c r="E68" s="954" t="s">
        <v>901</v>
      </c>
      <c r="F68" s="660" t="s">
        <v>864</v>
      </c>
      <c r="G68" s="727"/>
      <c r="H68" s="519"/>
      <c r="I68" s="727"/>
      <c r="J68" s="519"/>
      <c r="K68" s="727"/>
      <c r="L68" s="519"/>
      <c r="M68" s="289"/>
      <c r="Z68" s="758">
        <v>0</v>
      </c>
    </row>
    <row r="69" s="1635" customFormat="1" ht="22.5" hidden="1" customHeight="1">
      <c r="A69" s="2392"/>
      <c r="B69" s="511"/>
      <c r="D69" s="743" t="s">
        <v>312</v>
      </c>
      <c r="E69" s="954" t="s">
        <v>902</v>
      </c>
      <c r="F69" s="721" t="s">
        <v>560</v>
      </c>
      <c r="G69" s="742"/>
      <c r="H69" s="519"/>
      <c r="I69" s="742"/>
      <c r="J69" s="519"/>
      <c r="K69" s="742"/>
      <c r="L69" s="519"/>
      <c r="M69" s="289"/>
      <c r="Z69" s="758">
        <v>0</v>
      </c>
    </row>
    <row r="70" s="1635" customFormat="1" ht="22.5" hidden="1" customHeight="1">
      <c r="A70" s="2392"/>
      <c r="B70" s="511"/>
      <c r="D70" s="743" t="s">
        <v>731</v>
      </c>
      <c r="E70" s="954" t="s">
        <v>903</v>
      </c>
      <c r="F70" s="721" t="s">
        <v>560</v>
      </c>
      <c r="G70" s="742"/>
      <c r="H70" s="519"/>
      <c r="I70" s="742"/>
      <c r="J70" s="519"/>
      <c r="K70" s="742"/>
      <c r="L70" s="519"/>
      <c r="M70" s="289"/>
      <c r="Z70" s="758">
        <v>0</v>
      </c>
    </row>
    <row r="71" s="1635" customFormat="1" ht="22.5" hidden="1" customHeight="1">
      <c r="A71" s="2392"/>
      <c r="B71" s="511"/>
      <c r="D71" s="665" t="s">
        <v>89</v>
      </c>
      <c r="E71" s="666" t="s">
        <v>904</v>
      </c>
      <c r="F71" s="660" t="s">
        <v>864</v>
      </c>
      <c r="G71" s="557"/>
      <c r="H71" s="1030"/>
      <c r="I71" s="557"/>
      <c r="J71" s="1030"/>
      <c r="K71" s="557"/>
      <c r="L71" s="1030"/>
      <c r="M71" s="302"/>
      <c r="Z71" s="758">
        <v>0</v>
      </c>
    </row>
    <row r="72" s="1635" customFormat="1" ht="56.25" hidden="1" customHeight="1">
      <c r="A72" s="2392"/>
      <c r="B72" s="511"/>
      <c r="D72" s="665" t="s">
        <v>90</v>
      </c>
      <c r="E72" s="666" t="s">
        <v>905</v>
      </c>
      <c r="F72" s="721" t="s">
        <v>560</v>
      </c>
      <c r="G72" s="742"/>
      <c r="H72" s="1023"/>
      <c r="I72" s="742"/>
      <c r="J72" s="1023"/>
      <c r="K72" s="742"/>
      <c r="L72" s="1023"/>
      <c r="M72" s="302"/>
      <c r="Z72" s="758">
        <v>0</v>
      </c>
    </row>
    <row r="73" s="1635" customFormat="1" ht="33.75" hidden="1" customHeight="1">
      <c r="A73" s="2392"/>
      <c r="B73" s="511"/>
      <c r="D73" s="665" t="s">
        <v>111</v>
      </c>
      <c r="E73" s="666" t="s">
        <v>906</v>
      </c>
      <c r="F73" s="726" t="s">
        <v>822</v>
      </c>
      <c r="G73" s="668"/>
      <c r="H73" s="1023"/>
      <c r="I73" s="668"/>
      <c r="J73" s="1023"/>
      <c r="K73" s="1169"/>
      <c r="L73" s="1023"/>
      <c r="M73" s="289"/>
      <c r="Z73" s="758">
        <v>0</v>
      </c>
    </row>
    <row r="74" s="1635" customFormat="1" ht="22.5" hidden="1" customHeight="1">
      <c r="A74" s="2392"/>
      <c r="B74" s="511" t="s">
        <v>590</v>
      </c>
      <c r="D74" s="665" t="s">
        <v>91</v>
      </c>
      <c r="E74" s="666" t="s">
        <v>907</v>
      </c>
      <c r="F74" s="726" t="s">
        <v>308</v>
      </c>
      <c r="G74" s="382"/>
      <c r="H74" s="1023"/>
      <c r="I74" s="382"/>
      <c r="J74" s="1023"/>
      <c r="K74" s="1164"/>
      <c r="L74" s="1023"/>
      <c r="M74" s="289" t="s">
        <v>634</v>
      </c>
      <c r="Z74" s="758">
        <v>0</v>
      </c>
    </row>
    <row r="75" s="1635" customFormat="1" ht="45" hidden="1" customHeight="1">
      <c r="A75" s="2392"/>
      <c r="B75" s="511" t="s">
        <v>590</v>
      </c>
      <c r="D75" s="665" t="s">
        <v>655</v>
      </c>
      <c r="E75" s="667" t="s">
        <v>908</v>
      </c>
      <c r="F75" s="721" t="s">
        <v>308</v>
      </c>
      <c r="G75" s="382"/>
      <c r="H75" s="1023"/>
      <c r="I75" s="382"/>
      <c r="J75" s="1023"/>
      <c r="K75" s="1164"/>
      <c r="L75" s="1023"/>
      <c r="M75" s="289" t="s">
        <v>634</v>
      </c>
      <c r="Z75" s="758">
        <v>0</v>
      </c>
    </row>
    <row r="76" s="1635" customFormat="1" ht="11.5" customHeight="1">
      <c r="A76" s="1033"/>
      <c r="B76" s="518"/>
      <c r="D76" s="1034"/>
      <c r="E76" s="1035"/>
      <c r="K76" s="1635"/>
      <c r="L76" s="1635"/>
      <c r="Z76" s="509">
        <v>11</v>
      </c>
    </row>
    <row r="77" s="1635" customFormat="1" ht="11.25" customHeight="1">
      <c r="A77" s="2392" t="s">
        <v>909</v>
      </c>
      <c r="B77" s="511"/>
      <c r="D77" s="665">
        <v>1</v>
      </c>
      <c r="E77" s="666" t="s">
        <v>910</v>
      </c>
      <c r="F77" s="721" t="s">
        <v>812</v>
      </c>
      <c r="G77" s="724"/>
      <c r="H77" s="1023"/>
      <c r="I77" s="724"/>
      <c r="J77" s="1023"/>
      <c r="K77" s="724"/>
      <c r="L77" s="1023"/>
      <c r="M77" s="289" t="s">
        <v>911</v>
      </c>
      <c r="Z77" s="758">
        <v>0</v>
      </c>
    </row>
    <row r="78" s="1635" customFormat="1" ht="11.25" customHeight="1">
      <c r="A78" s="2392"/>
      <c r="B78" s="511"/>
      <c r="D78" s="665" t="s">
        <v>110</v>
      </c>
      <c r="E78" s="666" t="s">
        <v>912</v>
      </c>
      <c r="F78" s="721" t="s">
        <v>812</v>
      </c>
      <c r="G78" s="724"/>
      <c r="H78" s="1023"/>
      <c r="I78" s="724"/>
      <c r="J78" s="1023"/>
      <c r="K78" s="724"/>
      <c r="L78" s="1023"/>
      <c r="M78" s="289" t="s">
        <v>913</v>
      </c>
      <c r="Z78" s="758">
        <v>0</v>
      </c>
    </row>
    <row r="79" s="1635" customFormat="1" ht="22.5" customHeight="1">
      <c r="A79" s="2392"/>
      <c r="B79" s="511"/>
      <c r="D79" s="665" t="s">
        <v>89</v>
      </c>
      <c r="E79" s="722" t="s">
        <v>914</v>
      </c>
      <c r="F79" s="660" t="s">
        <v>861</v>
      </c>
      <c r="G79" s="724"/>
      <c r="H79" s="1023"/>
      <c r="I79" s="724"/>
      <c r="J79" s="1023"/>
      <c r="K79" s="724"/>
      <c r="L79" s="1023"/>
      <c r="M79" s="289" t="s">
        <v>915</v>
      </c>
      <c r="Z79" s="758">
        <v>0</v>
      </c>
    </row>
    <row r="80" s="1635" customFormat="1" ht="11.25" customHeight="1">
      <c r="A80" s="2392"/>
      <c r="B80" s="511"/>
      <c r="D80" s="665" t="s">
        <v>326</v>
      </c>
      <c r="E80" s="723" t="s">
        <v>916</v>
      </c>
      <c r="F80" s="660" t="s">
        <v>861</v>
      </c>
      <c r="G80" s="724"/>
      <c r="H80" s="1023"/>
      <c r="I80" s="724"/>
      <c r="J80" s="1023"/>
      <c r="K80" s="724"/>
      <c r="L80" s="1023"/>
      <c r="M80" s="289"/>
      <c r="Z80" s="758">
        <v>0</v>
      </c>
    </row>
    <row r="81" s="1635" customFormat="1" ht="11.25" customHeight="1">
      <c r="A81" s="2392"/>
      <c r="B81" s="511"/>
      <c r="D81" s="665" t="s">
        <v>334</v>
      </c>
      <c r="E81" s="723" t="s">
        <v>917</v>
      </c>
      <c r="F81" s="660" t="s">
        <v>861</v>
      </c>
      <c r="G81" s="724"/>
      <c r="H81" s="1023"/>
      <c r="I81" s="724"/>
      <c r="J81" s="1023"/>
      <c r="K81" s="724"/>
      <c r="L81" s="1023"/>
      <c r="M81" s="289"/>
      <c r="Z81" s="758">
        <v>0</v>
      </c>
    </row>
    <row r="82" s="1635" customFormat="1" ht="11.25" customHeight="1">
      <c r="A82" s="2392"/>
      <c r="B82" s="511"/>
      <c r="D82" s="665" t="s">
        <v>336</v>
      </c>
      <c r="E82" s="723" t="s">
        <v>918</v>
      </c>
      <c r="F82" s="660" t="s">
        <v>861</v>
      </c>
      <c r="G82" s="724"/>
      <c r="H82" s="1023"/>
      <c r="I82" s="724"/>
      <c r="J82" s="1023"/>
      <c r="K82" s="724"/>
      <c r="L82" s="1023"/>
      <c r="M82" s="289"/>
      <c r="Z82" s="758">
        <v>0</v>
      </c>
    </row>
    <row r="83" s="1635" customFormat="1" ht="11.25" customHeight="1">
      <c r="A83" s="2392"/>
      <c r="B83" s="511"/>
      <c r="D83" s="665" t="s">
        <v>338</v>
      </c>
      <c r="E83" s="723" t="s">
        <v>919</v>
      </c>
      <c r="F83" s="660" t="s">
        <v>861</v>
      </c>
      <c r="G83" s="724"/>
      <c r="H83" s="1023"/>
      <c r="I83" s="724"/>
      <c r="J83" s="1023"/>
      <c r="K83" s="724"/>
      <c r="L83" s="1023"/>
      <c r="M83" s="289"/>
      <c r="Z83" s="758">
        <v>0</v>
      </c>
    </row>
    <row r="84" s="1635" customFormat="1" ht="11.25" customHeight="1">
      <c r="A84" s="2392"/>
      <c r="B84" s="511"/>
      <c r="D84" s="665" t="s">
        <v>920</v>
      </c>
      <c r="E84" s="723" t="s">
        <v>921</v>
      </c>
      <c r="F84" s="660" t="s">
        <v>861</v>
      </c>
      <c r="G84" s="724"/>
      <c r="H84" s="1023"/>
      <c r="I84" s="724"/>
      <c r="J84" s="1023"/>
      <c r="K84" s="724"/>
      <c r="L84" s="1023"/>
      <c r="M84" s="289"/>
      <c r="Z84" s="758">
        <v>0</v>
      </c>
    </row>
    <row r="85" s="1635" customFormat="1" ht="11.25" customHeight="1">
      <c r="A85" s="2392"/>
      <c r="B85" s="511"/>
      <c r="D85" s="665" t="s">
        <v>922</v>
      </c>
      <c r="E85" s="723" t="s">
        <v>923</v>
      </c>
      <c r="F85" s="660" t="s">
        <v>861</v>
      </c>
      <c r="G85" s="724"/>
      <c r="H85" s="1023"/>
      <c r="I85" s="724"/>
      <c r="J85" s="1023"/>
      <c r="K85" s="724"/>
      <c r="L85" s="1023"/>
      <c r="M85" s="289"/>
      <c r="Z85" s="758">
        <v>0</v>
      </c>
    </row>
    <row r="86" s="1635" customFormat="1" ht="11.25" customHeight="1">
      <c r="A86" s="2392"/>
      <c r="B86" s="511"/>
      <c r="D86" s="665" t="s">
        <v>924</v>
      </c>
      <c r="E86" s="723" t="s">
        <v>925</v>
      </c>
      <c r="F86" s="660" t="s">
        <v>861</v>
      </c>
      <c r="G86" s="724"/>
      <c r="H86" s="1023"/>
      <c r="I86" s="724"/>
      <c r="J86" s="1023"/>
      <c r="K86" s="724"/>
      <c r="L86" s="1023"/>
      <c r="M86" s="289"/>
      <c r="Z86" s="758">
        <v>0</v>
      </c>
    </row>
    <row r="87" s="1635" customFormat="1" ht="45" customHeight="1">
      <c r="A87" s="2392"/>
      <c r="B87" s="511"/>
      <c r="D87" s="665" t="s">
        <v>90</v>
      </c>
      <c r="E87" s="666" t="s">
        <v>926</v>
      </c>
      <c r="F87" s="660" t="s">
        <v>861</v>
      </c>
      <c r="G87" s="724"/>
      <c r="H87" s="1023"/>
      <c r="I87" s="724"/>
      <c r="J87" s="1023"/>
      <c r="K87" s="724"/>
      <c r="L87" s="1023"/>
      <c r="M87" s="289" t="s">
        <v>927</v>
      </c>
      <c r="Z87" s="758">
        <v>0</v>
      </c>
    </row>
    <row r="88" s="1635" customFormat="1" ht="11.25" customHeight="1">
      <c r="A88" s="2392"/>
      <c r="B88" s="511"/>
      <c r="D88" s="665" t="s">
        <v>756</v>
      </c>
      <c r="E88" s="723" t="s">
        <v>916</v>
      </c>
      <c r="F88" s="660" t="s">
        <v>861</v>
      </c>
      <c r="G88" s="724"/>
      <c r="H88" s="1023"/>
      <c r="I88" s="724"/>
      <c r="J88" s="1023"/>
      <c r="K88" s="724"/>
      <c r="L88" s="1023"/>
      <c r="M88" s="289"/>
      <c r="Z88" s="758">
        <v>0</v>
      </c>
    </row>
    <row r="89" s="1635" customFormat="1" ht="11.25" customHeight="1">
      <c r="A89" s="2392"/>
      <c r="B89" s="511"/>
      <c r="D89" s="665" t="s">
        <v>798</v>
      </c>
      <c r="E89" s="723" t="s">
        <v>917</v>
      </c>
      <c r="F89" s="660" t="s">
        <v>861</v>
      </c>
      <c r="G89" s="724"/>
      <c r="H89" s="1023"/>
      <c r="I89" s="724"/>
      <c r="J89" s="1023"/>
      <c r="K89" s="724"/>
      <c r="L89" s="1023"/>
      <c r="M89" s="289"/>
      <c r="Z89" s="758">
        <v>0</v>
      </c>
    </row>
    <row r="90" s="1635" customFormat="1" ht="11.25" customHeight="1">
      <c r="A90" s="2392"/>
      <c r="B90" s="511"/>
      <c r="D90" s="665" t="s">
        <v>801</v>
      </c>
      <c r="E90" s="723" t="s">
        <v>918</v>
      </c>
      <c r="F90" s="660" t="s">
        <v>861</v>
      </c>
      <c r="G90" s="724"/>
      <c r="H90" s="1023"/>
      <c r="I90" s="724"/>
      <c r="J90" s="1023"/>
      <c r="K90" s="724"/>
      <c r="L90" s="1023"/>
      <c r="M90" s="289"/>
      <c r="Z90" s="758">
        <v>0</v>
      </c>
    </row>
    <row r="91" s="1635" customFormat="1" ht="11.25" customHeight="1">
      <c r="A91" s="2392"/>
      <c r="B91" s="511"/>
      <c r="D91" s="665" t="s">
        <v>879</v>
      </c>
      <c r="E91" s="723" t="s">
        <v>919</v>
      </c>
      <c r="F91" s="660" t="s">
        <v>861</v>
      </c>
      <c r="G91" s="724"/>
      <c r="H91" s="1023"/>
      <c r="I91" s="724"/>
      <c r="J91" s="1023"/>
      <c r="K91" s="724"/>
      <c r="L91" s="1023"/>
      <c r="M91" s="289"/>
      <c r="Z91" s="758">
        <v>0</v>
      </c>
    </row>
    <row r="92" s="1635" customFormat="1" ht="11.25" customHeight="1">
      <c r="A92" s="2392"/>
      <c r="B92" s="511"/>
      <c r="D92" s="665" t="s">
        <v>881</v>
      </c>
      <c r="E92" s="723" t="s">
        <v>921</v>
      </c>
      <c r="F92" s="660" t="s">
        <v>861</v>
      </c>
      <c r="G92" s="724"/>
      <c r="H92" s="1023"/>
      <c r="I92" s="724"/>
      <c r="J92" s="1023"/>
      <c r="K92" s="724"/>
      <c r="L92" s="1023"/>
      <c r="M92" s="289"/>
      <c r="Z92" s="758">
        <v>0</v>
      </c>
    </row>
    <row r="93" s="1635" customFormat="1" ht="11.25" customHeight="1">
      <c r="A93" s="2392"/>
      <c r="B93" s="511"/>
      <c r="D93" s="665" t="s">
        <v>928</v>
      </c>
      <c r="E93" s="723" t="s">
        <v>923</v>
      </c>
      <c r="F93" s="660" t="s">
        <v>861</v>
      </c>
      <c r="G93" s="724"/>
      <c r="H93" s="1023"/>
      <c r="I93" s="724"/>
      <c r="J93" s="1023"/>
      <c r="K93" s="724"/>
      <c r="L93" s="1023"/>
      <c r="M93" s="289"/>
      <c r="Z93" s="758">
        <v>0</v>
      </c>
    </row>
    <row r="94" s="1635" customFormat="1" ht="11.25" customHeight="1">
      <c r="A94" s="2392"/>
      <c r="B94" s="511"/>
      <c r="D94" s="665" t="s">
        <v>929</v>
      </c>
      <c r="E94" s="723" t="s">
        <v>925</v>
      </c>
      <c r="F94" s="660" t="s">
        <v>861</v>
      </c>
      <c r="G94" s="724"/>
      <c r="H94" s="1023"/>
      <c r="I94" s="724"/>
      <c r="J94" s="1023"/>
      <c r="K94" s="724"/>
      <c r="L94" s="1023"/>
      <c r="M94" s="289"/>
      <c r="Z94" s="758">
        <v>0</v>
      </c>
    </row>
    <row r="95" s="1635" customFormat="1" ht="24.75" customHeight="1">
      <c r="A95" s="2392"/>
      <c r="B95" s="511"/>
      <c r="D95" s="665" t="s">
        <v>111</v>
      </c>
      <c r="E95" s="666" t="s">
        <v>930</v>
      </c>
      <c r="F95" s="725" t="s">
        <v>560</v>
      </c>
      <c r="G95" s="727"/>
      <c r="H95" s="1023"/>
      <c r="I95" s="727"/>
      <c r="J95" s="1023"/>
      <c r="K95" s="727"/>
      <c r="L95" s="1023"/>
      <c r="M95" s="289" t="s">
        <v>931</v>
      </c>
      <c r="Z95" s="758">
        <v>0</v>
      </c>
    </row>
    <row r="96" s="1635" customFormat="1" ht="33.75" customHeight="1">
      <c r="A96" s="2392"/>
      <c r="B96" s="511"/>
      <c r="D96" s="665" t="s">
        <v>91</v>
      </c>
      <c r="E96" s="666" t="s">
        <v>932</v>
      </c>
      <c r="F96" s="726" t="s">
        <v>822</v>
      </c>
      <c r="G96" s="728"/>
      <c r="H96" s="1023"/>
      <c r="I96" s="728"/>
      <c r="J96" s="1023"/>
      <c r="K96" s="728"/>
      <c r="L96" s="1023"/>
      <c r="M96" s="289"/>
      <c r="Z96" s="758">
        <v>0</v>
      </c>
    </row>
    <row r="97" s="1635" customFormat="1" ht="22.5" customHeight="1">
      <c r="A97" s="2392"/>
      <c r="B97" s="511" t="s">
        <v>590</v>
      </c>
      <c r="D97" s="665" t="s">
        <v>92</v>
      </c>
      <c r="E97" s="666" t="s">
        <v>933</v>
      </c>
      <c r="F97" s="726" t="s">
        <v>308</v>
      </c>
      <c r="G97" s="385"/>
      <c r="H97" s="1023"/>
      <c r="I97" s="385"/>
      <c r="J97" s="1023"/>
      <c r="K97" s="385"/>
      <c r="L97" s="1023"/>
      <c r="M97" s="289" t="s">
        <v>634</v>
      </c>
      <c r="Z97" s="758">
        <v>0</v>
      </c>
    </row>
    <row r="98" s="1635" customFormat="1" ht="45" customHeight="1">
      <c r="A98" s="2392"/>
      <c r="B98" s="511" t="s">
        <v>590</v>
      </c>
      <c r="D98" s="665" t="s">
        <v>934</v>
      </c>
      <c r="E98" s="667" t="s">
        <v>935</v>
      </c>
      <c r="F98" s="721" t="s">
        <v>308</v>
      </c>
      <c r="G98" s="385"/>
      <c r="H98" s="1023"/>
      <c r="I98" s="385"/>
      <c r="J98" s="1023"/>
      <c r="K98" s="385"/>
      <c r="L98" s="1023"/>
      <c r="M98" s="289" t="s">
        <v>634</v>
      </c>
      <c r="Z98" s="758">
        <v>0</v>
      </c>
    </row>
    <row r="99" s="1635" customFormat="1" ht="95.25" customHeight="1">
      <c r="A99" s="2392"/>
      <c r="B99" s="511" t="s">
        <v>590</v>
      </c>
      <c r="D99" s="665" t="s">
        <v>112</v>
      </c>
      <c r="E99" s="666" t="s">
        <v>936</v>
      </c>
      <c r="F99" s="721" t="s">
        <v>308</v>
      </c>
      <c r="G99" s="385"/>
      <c r="H99" s="1023"/>
      <c r="I99" s="385"/>
      <c r="J99" s="1023"/>
      <c r="K99" s="385"/>
      <c r="L99" s="1023"/>
      <c r="M99" s="289" t="s">
        <v>634</v>
      </c>
      <c r="Z99" s="758">
        <v>0</v>
      </c>
    </row>
    <row r="100" s="1635" customFormat="1" ht="22.5" customHeight="1">
      <c r="A100" s="2392"/>
      <c r="B100" s="511" t="s">
        <v>590</v>
      </c>
      <c r="D100" s="665" t="s">
        <v>152</v>
      </c>
      <c r="E100" s="666" t="s">
        <v>937</v>
      </c>
      <c r="F100" s="721" t="s">
        <v>308</v>
      </c>
      <c r="G100" s="385"/>
      <c r="H100" s="1023"/>
      <c r="I100" s="385"/>
      <c r="J100" s="1023"/>
      <c r="K100" s="385"/>
      <c r="L100" s="1023"/>
      <c r="M100" s="289" t="s">
        <v>634</v>
      </c>
      <c r="Z100" s="758">
        <v>0</v>
      </c>
    </row>
    <row r="101" s="1635" customFormat="1" ht="11.5" customHeight="1">
      <c r="A101" s="1033"/>
      <c r="B101" s="518"/>
      <c r="D101" s="1034"/>
      <c r="E101" s="1035"/>
      <c r="K101" s="1635"/>
      <c r="L101" s="1635"/>
      <c r="Z101" s="509">
        <v>11</v>
      </c>
    </row>
    <row r="102" ht="22.5" hidden="1" customHeight="1">
      <c r="A102" s="536" t="s">
        <v>81</v>
      </c>
      <c r="B102" s="511">
        <v>0</v>
      </c>
      <c r="C102" s="505">
        <v>3</v>
      </c>
      <c r="D102" s="505">
        <v>7</v>
      </c>
      <c r="E102" s="505">
        <v>69</v>
      </c>
      <c r="F102" s="505">
        <v>10</v>
      </c>
      <c r="G102" s="505">
        <v>0</v>
      </c>
      <c r="H102" s="505">
        <v>0</v>
      </c>
      <c r="I102" s="758">
        <v>43</v>
      </c>
      <c r="J102" s="758">
        <v>43</v>
      </c>
      <c r="K102" s="1635">
        <v>0</v>
      </c>
      <c r="L102" s="1635">
        <v>0</v>
      </c>
      <c r="M102" s="505">
        <v>73</v>
      </c>
      <c r="N102" s="505">
        <v>3</v>
      </c>
      <c r="O102" s="505">
        <v>10</v>
      </c>
      <c r="P102" s="505">
        <v>10</v>
      </c>
      <c r="Q102" s="505">
        <v>10</v>
      </c>
      <c r="R102" s="505">
        <v>10</v>
      </c>
      <c r="S102" s="505">
        <v>10</v>
      </c>
      <c r="T102" s="505">
        <v>10</v>
      </c>
      <c r="U102" s="505">
        <v>10</v>
      </c>
      <c r="V102" s="505">
        <v>10</v>
      </c>
      <c r="W102" s="505">
        <v>10</v>
      </c>
      <c r="X102" s="505">
        <v>10</v>
      </c>
      <c r="Y102" s="505">
        <v>10</v>
      </c>
      <c r="Z102" s="505">
        <v>23</v>
      </c>
    </row>
  </sheetData>
  <sheetProtection autoFilter="0" deleteColumns="0" deleteRows="0" formatColumns="0" formatRows="0" insertColumns="1" insertRows="0" sort="0"/>
  <mergeCells count="21">
    <mergeCell ref="D3:F3"/>
    <mergeCell ref="M7:M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 ref="K7:L7"/>
    <mergeCell ref="K8:L8"/>
    <mergeCell ref="K9:L9"/>
  </mergeCells>
  <pageMargins left="0.69999999999999996" right="0.69999999999999996" top="0.75" bottom="0.75" header="0.29999999999999999" footer="0.29999999999999999"/>
  <pageSetup paperSize="9"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6">
        <x14:dataValidation xr:uid="{004B00E9-0061-4554-BC16-00FF00510028}" type="list" allowBlank="1" error="Укажите значение вручную или выберите из списка!" errorTitle="Ошибка" prompt="Укажите значение вручную или выберите из списка" showInputMessage="1">
          <x14:formula1>
            <xm:f>"Не утверждены"</xm:f>
          </x14:formula1>
          <xm:sqref>G19 I19 K19</xm:sqref>
        </x14:dataValidation>
        <x14:dataValidation xr:uid="{00950004-00CA-4CB5-992D-001500C30000}" type="decimal" allowBlank="1" error="Введите значение от 0 до 100%" errorTitle="Ошибка" showErrorMessage="1">
          <x14:formula1>
            <xm:f>0</xm:f>
          </x14:formula1>
          <x14:formula2>
            <xm:f>100</xm:f>
          </x14:formula2>
          <xm:sqref>G31 G95 G60 G72 G42:G43 G69:G70 I31 I95 I60 I72 I42:I43 I69:I70 K31 K42 K43 K60 K69 K70 K72 K95</xm:sqref>
        </x14:dataValidation>
        <x14:dataValidation xr:uid="{001A00AF-0005-4431-8A6C-0060003A00A1}" type="textLength" allowBlank="1" error="Допускается ввод не более 900 символов!" errorTitle="Ошибка" operator="lessThanOrEqual" prompt="Введите ссылку на обосновывающие материалы, загруженные с помощью &quot;ЕИАС Web&quot;." showErrorMessage="1" showInputMessage="1">
          <x14:formula1>
            <xm:f>900</xm:f>
          </x14:formula1>
          <xm:sqref>H31:H32 J31:J32 L31:L32 G62:G63 G74:G75 G97:G100 I62:I63 I74:I75 I97:I100 H13:H14 H19 J19 L19 J13:J14 L13:L14 K62 K63 K74 K75 K97 K98 K99 K100</xm:sqref>
        </x14:dataValidation>
        <x14:dataValidation xr:uid="{00170018-00CB-45EF-95D9-00FF00CB00E6}" type="decimal" allowBlank="1" error="Допускается ввод только неотрицательных чисел!" errorTitle="Ошибка" showErrorMessage="1">
          <x14:formula1>
            <xm:f>0</xm:f>
          </x14:formula1>
          <x14:formula2>
            <xm:f>9.99999999999999E+23</xm:f>
          </x14:formula2>
          <xm:sqref>G32 G67:G68 G39:G40 G37 G44:G59 G61 G77:G94 G73 G71 G96 G65 G18 G13:G14 G29:G30 G26:G27 I32 I67:I68 I39:I40 I37 I44:I59 I61 I77:I94 I73 I71 I96 I65 I18 I13:I14 I29:I30 I26:I27 I21:I22 G24 G21:G22 I24 K13 K14 K18 K21 K22 K24 K26 K27 K29 K30 K32 K37 K39 K40 K44 K45 K46 K47 K48 K49 K50 K51 K52 K53 K54 K55 K56 K57 K58 K59 K61 K65 K67 K68 K71 K73 K77 K78 K79 K80 K81 K82 K83 K84 K85 K86 K87 K88 K89 K90 K91 K92 K93 K94 K96</xm:sqref>
        </x14:dataValidation>
        <x14:dataValidation xr:uid="{007900BB-0063-4C79-86BF-00790017001C}" type="whole" allowBlank="1" error="Допускается ввод только неотрицательных целых чисел!" errorTitle="Ошибка" showErrorMessage="1">
          <x14:formula1>
            <xm:f>0</xm:f>
          </x14:formula1>
          <x14:formula2>
            <xm:f>9.99999999999999E+23</xm:f>
          </x14:formula2>
          <xm:sqref>G16:G17 I16:I17 K16 K17</xm:sqref>
        </x14:dataValidation>
        <x14:dataValidation xr:uid="{003C0071-0079-489B-A261-007500D10026}" type="textLength" allowBlank="1" error="Допускается ввод не более 900 символов!" errorTitle="Ошибка" operator="lessThanOrEqual" showErrorMessage="1" showInputMessage="1">
          <x14:formula1>
            <xm:f>900</xm:f>
          </x14:formula1>
          <xm:sqref>H21:H22 H29:H30 H24 H26:H27 H15:H18 J26:J27 L26:L27 J15:J18 L15:L18 J21:J22 L21:L22 J29:J30 L29:L30 J24 L24</xm:sqref>
        </x14:dataValidation>
      </x14:dataValidations>
    </ext>
  </extLst>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rgb="FFE26B0A"/>
  </sheetPr>
  <sheetViews>
    <sheetView showGridLines="0" topLeftCell="A1" zoomScale="90" workbookViewId="0">
      <selection activeCell="K25" sqref="K25"/>
    </sheetView>
  </sheetViews>
  <sheetFormatPr defaultColWidth="10.57421875" defaultRowHeight="15" customHeight="1"/>
  <cols>
    <col customWidth="1" hidden="1" min="1" max="1" style="1632" width="9.140625"/>
    <col customWidth="1" hidden="1" min="2" max="2" style="1635" width="9.140625"/>
    <col customWidth="1" min="3" max="3" style="683" width="4.00390625"/>
    <col customWidth="1" min="4" max="4" style="1635" width="6.00390625"/>
    <col customWidth="1" min="5" max="5" style="1635" width="36.00390625"/>
    <col customWidth="1" min="6" max="6" style="1635" width="9.00390625"/>
    <col customWidth="1" hidden="1" min="7" max="7" style="1635" width="25.7109375"/>
    <col customWidth="1" hidden="1" min="8" max="8" style="1635" width="33.7109375"/>
    <col customWidth="1" min="9" max="9" style="1635" width="25.7109375"/>
    <col customWidth="1" min="10" max="10" style="1635" width="33.00390625"/>
    <col customWidth="1" min="11" max="11" style="1635" width="25.7109375"/>
    <col customWidth="1" min="12" max="12" style="1635" width="33.7109375"/>
    <col customWidth="1" min="13" max="13" style="1366" width="93.00390625"/>
    <col customWidth="1" min="14" max="22" style="1635" width="10.00390625"/>
    <col customWidth="1" min="23" max="23" style="675" width="10.00390625"/>
    <col hidden="1" min="24" max="24" style="1635" width="10.57421875"/>
  </cols>
  <sheetData>
    <row r="1" s="1366" customFormat="1" ht="22.5" hidden="1" customHeight="1">
      <c r="C1" s="672"/>
      <c r="G1" s="417">
        <v>4</v>
      </c>
      <c r="I1" s="417">
        <v>4</v>
      </c>
      <c r="K1" s="1366">
        <v>4</v>
      </c>
      <c r="L1" s="1366"/>
      <c r="W1" s="420"/>
      <c r="X1" s="417" t="s">
        <v>14</v>
      </c>
    </row>
    <row r="2" s="1366" customFormat="1" ht="15" hidden="1" customHeight="1">
      <c r="C2" s="672"/>
      <c r="K2" s="1366"/>
      <c r="L2" s="1366"/>
      <c r="W2" s="420"/>
      <c r="X2" s="417">
        <v>0</v>
      </c>
    </row>
    <row r="3" ht="22.5" hidden="1" customHeight="1">
      <c r="A3" s="505"/>
      <c r="B3" s="2397"/>
      <c r="C3" s="2398" t="s">
        <v>122</v>
      </c>
      <c r="D3" s="689" t="str">
        <f>B3&amp;".1"</f>
        <v>.1</v>
      </c>
      <c r="E3" s="690" t="s">
        <v>938</v>
      </c>
      <c r="F3" s="691" t="s">
        <v>308</v>
      </c>
      <c r="G3" s="686"/>
      <c r="H3" s="401"/>
      <c r="I3" s="686"/>
      <c r="J3" s="401"/>
      <c r="K3" s="2353"/>
      <c r="L3" s="818"/>
      <c r="M3" s="289" t="s">
        <v>939</v>
      </c>
      <c r="X3" s="505">
        <v>0</v>
      </c>
    </row>
    <row r="4" ht="15" hidden="1" customHeight="1">
      <c r="A4" s="505"/>
      <c r="B4" s="2397"/>
      <c r="C4" s="2398"/>
      <c r="D4" s="689" t="str">
        <f>B3&amp;".2"</f>
        <v>.2</v>
      </c>
      <c r="E4" s="690" t="s">
        <v>940</v>
      </c>
      <c r="F4" s="691" t="s">
        <v>308</v>
      </c>
      <c r="G4" s="1738" t="s">
        <v>22</v>
      </c>
      <c r="H4" s="401"/>
      <c r="I4" s="1738" t="s">
        <v>22</v>
      </c>
      <c r="J4" s="401"/>
      <c r="K4" s="1738" t="s">
        <v>22</v>
      </c>
      <c r="L4" s="818"/>
      <c r="M4" s="289" t="s">
        <v>941</v>
      </c>
      <c r="X4" s="505">
        <v>0</v>
      </c>
    </row>
    <row r="5" s="1366" customFormat="1" ht="15" hidden="1" customHeight="1">
      <c r="C5" s="672"/>
      <c r="K5" s="1366"/>
      <c r="L5" s="1366"/>
      <c r="W5" s="420"/>
      <c r="X5" s="417">
        <v>0</v>
      </c>
    </row>
    <row r="6" ht="22.5" hidden="1" customHeight="1">
      <c r="A6" s="505"/>
      <c r="B6" s="2397"/>
      <c r="C6" s="2398" t="s">
        <v>122</v>
      </c>
      <c r="D6" s="689" t="str">
        <f>B6&amp;".1"</f>
        <v>.1</v>
      </c>
      <c r="E6" s="690" t="s">
        <v>942</v>
      </c>
      <c r="F6" s="691" t="s">
        <v>308</v>
      </c>
      <c r="G6" s="686"/>
      <c r="H6" s="401"/>
      <c r="I6" s="686"/>
      <c r="J6" s="401"/>
      <c r="K6" s="2353"/>
      <c r="L6" s="818"/>
      <c r="M6" s="289" t="s">
        <v>943</v>
      </c>
      <c r="X6" s="505">
        <v>0</v>
      </c>
    </row>
    <row r="7" ht="15" hidden="1" customHeight="1">
      <c r="A7" s="505"/>
      <c r="B7" s="2397"/>
      <c r="C7" s="2398"/>
      <c r="D7" s="689" t="str">
        <f>B6&amp;".2"</f>
        <v>.2</v>
      </c>
      <c r="E7" s="690" t="s">
        <v>940</v>
      </c>
      <c r="F7" s="691" t="s">
        <v>308</v>
      </c>
      <c r="G7" s="1738" t="s">
        <v>22</v>
      </c>
      <c r="H7" s="401"/>
      <c r="I7" s="1738" t="s">
        <v>22</v>
      </c>
      <c r="J7" s="401"/>
      <c r="K7" s="1738" t="s">
        <v>22</v>
      </c>
      <c r="L7" s="818"/>
      <c r="M7" s="289" t="s">
        <v>941</v>
      </c>
      <c r="X7" s="505">
        <v>0</v>
      </c>
    </row>
    <row r="8" s="1366" customFormat="1" ht="15" hidden="1" customHeight="1">
      <c r="C8" s="672"/>
      <c r="K8" s="1366"/>
      <c r="L8" s="1366"/>
      <c r="W8" s="420"/>
      <c r="X8" s="417">
        <v>0</v>
      </c>
    </row>
    <row r="9" ht="22.5" hidden="1" customHeight="1">
      <c r="A9" s="505"/>
      <c r="B9" s="2397"/>
      <c r="C9" s="2398" t="s">
        <v>122</v>
      </c>
      <c r="D9" s="689" t="str">
        <f>B9&amp;".1"</f>
        <v>.1</v>
      </c>
      <c r="E9" s="690" t="s">
        <v>944</v>
      </c>
      <c r="F9" s="691" t="s">
        <v>308</v>
      </c>
      <c r="G9" s="697" t="s">
        <v>22</v>
      </c>
      <c r="H9" s="401" t="s">
        <v>22</v>
      </c>
      <c r="I9" s="697" t="s">
        <v>22</v>
      </c>
      <c r="J9" s="401" t="s">
        <v>22</v>
      </c>
      <c r="K9" s="861" t="s">
        <v>22</v>
      </c>
      <c r="L9" s="818" t="s">
        <v>22</v>
      </c>
      <c r="M9" s="289"/>
      <c r="X9" s="505">
        <v>0</v>
      </c>
    </row>
    <row r="10" ht="15" hidden="1" customHeight="1">
      <c r="A10" s="505"/>
      <c r="B10" s="2397"/>
      <c r="C10" s="2398"/>
      <c r="D10" s="689" t="str">
        <f>B9&amp;".2"</f>
        <v>.2</v>
      </c>
      <c r="E10" s="690" t="s">
        <v>945</v>
      </c>
      <c r="F10" s="691" t="s">
        <v>308</v>
      </c>
      <c r="G10" s="1732" t="s">
        <v>22</v>
      </c>
      <c r="H10" s="401" t="s">
        <v>22</v>
      </c>
      <c r="I10" s="1732" t="s">
        <v>22</v>
      </c>
      <c r="J10" s="401" t="s">
        <v>22</v>
      </c>
      <c r="K10" s="1732" t="s">
        <v>22</v>
      </c>
      <c r="L10" s="818" t="s">
        <v>22</v>
      </c>
      <c r="M10" s="289" t="s">
        <v>946</v>
      </c>
      <c r="X10" s="505">
        <v>0</v>
      </c>
    </row>
    <row r="11" ht="15" hidden="1" customHeight="1">
      <c r="A11" s="505"/>
      <c r="B11" s="2397"/>
      <c r="C11" s="2398"/>
      <c r="D11" s="689" t="str">
        <f>B9&amp;".3"</f>
        <v>.3</v>
      </c>
      <c r="E11" s="690" t="s">
        <v>947</v>
      </c>
      <c r="F11" s="691" t="s">
        <v>308</v>
      </c>
      <c r="G11" s="1732" t="s">
        <v>22</v>
      </c>
      <c r="H11" s="401" t="s">
        <v>22</v>
      </c>
      <c r="I11" s="1732" t="s">
        <v>22</v>
      </c>
      <c r="J11" s="401" t="s">
        <v>22</v>
      </c>
      <c r="K11" s="1732" t="s">
        <v>22</v>
      </c>
      <c r="L11" s="818" t="s">
        <v>22</v>
      </c>
      <c r="M11" s="289" t="s">
        <v>948</v>
      </c>
      <c r="X11" s="505">
        <v>0</v>
      </c>
    </row>
    <row r="12" s="1366" customFormat="1" ht="15" hidden="1" customHeight="1">
      <c r="C12" s="672"/>
      <c r="K12" s="1366"/>
      <c r="L12" s="1366"/>
      <c r="W12" s="420"/>
      <c r="X12" s="417">
        <v>0</v>
      </c>
    </row>
    <row r="13" ht="33.75" hidden="1" customHeight="1">
      <c r="A13" s="505"/>
      <c r="B13" s="2397"/>
      <c r="C13" s="2398" t="s">
        <v>122</v>
      </c>
      <c r="D13" s="689" t="str">
        <f>B13&amp;".1"</f>
        <v>.1</v>
      </c>
      <c r="E13" s="690" t="s">
        <v>949</v>
      </c>
      <c r="F13" s="691" t="s">
        <v>308</v>
      </c>
      <c r="G13" s="697" t="s">
        <v>22</v>
      </c>
      <c r="H13" s="401" t="s">
        <v>22</v>
      </c>
      <c r="I13" s="697" t="s">
        <v>22</v>
      </c>
      <c r="J13" s="401" t="s">
        <v>22</v>
      </c>
      <c r="K13" s="861" t="s">
        <v>22</v>
      </c>
      <c r="L13" s="818" t="s">
        <v>22</v>
      </c>
      <c r="M13" s="289" t="s">
        <v>950</v>
      </c>
      <c r="X13" s="505">
        <v>0</v>
      </c>
    </row>
    <row r="14" ht="15" hidden="1" customHeight="1">
      <c r="B14" s="2397"/>
      <c r="C14" s="2398"/>
      <c r="D14" s="689" t="str">
        <f>B13&amp;".2"</f>
        <v>.2</v>
      </c>
      <c r="E14" s="690" t="s">
        <v>951</v>
      </c>
      <c r="F14" s="691" t="s">
        <v>308</v>
      </c>
      <c r="G14" s="1732" t="s">
        <v>22</v>
      </c>
      <c r="H14" s="401" t="s">
        <v>22</v>
      </c>
      <c r="I14" s="1732" t="s">
        <v>22</v>
      </c>
      <c r="J14" s="401" t="s">
        <v>22</v>
      </c>
      <c r="K14" s="1732" t="s">
        <v>22</v>
      </c>
      <c r="L14" s="818" t="s">
        <v>22</v>
      </c>
      <c r="M14" s="289" t="s">
        <v>952</v>
      </c>
      <c r="X14" s="505">
        <v>0</v>
      </c>
    </row>
    <row r="15" s="1366" customFormat="1" ht="15" hidden="1" customHeight="1">
      <c r="C15" s="672"/>
      <c r="K15" s="1366"/>
      <c r="L15" s="1366"/>
      <c r="W15" s="420"/>
      <c r="X15" s="417">
        <v>0</v>
      </c>
    </row>
    <row r="16" s="1366" customFormat="1" ht="15" hidden="1" customHeight="1">
      <c r="C16" s="672"/>
      <c r="K16" s="1366"/>
      <c r="L16" s="1366"/>
      <c r="W16" s="420"/>
      <c r="X16" s="417">
        <v>0</v>
      </c>
    </row>
    <row r="17" s="1366" customFormat="1" ht="15" hidden="1" customHeight="1">
      <c r="C17" s="672"/>
      <c r="K17" s="1366"/>
      <c r="L17" s="1366"/>
      <c r="W17" s="420"/>
      <c r="X17" s="417">
        <v>0</v>
      </c>
    </row>
    <row r="18" s="1366" customFormat="1" ht="15" hidden="1" customHeight="1">
      <c r="C18" s="672"/>
      <c r="K18" s="1366"/>
      <c r="L18" s="1366"/>
      <c r="W18" s="420"/>
      <c r="X18" s="417">
        <v>0</v>
      </c>
    </row>
    <row r="19" s="1366" customFormat="1" ht="15" hidden="1" customHeight="1">
      <c r="C19" s="672"/>
      <c r="K19" s="1366"/>
      <c r="L19" s="1366"/>
      <c r="W19" s="420"/>
      <c r="X19" s="417">
        <v>0</v>
      </c>
    </row>
    <row r="20" s="1366" customFormat="1" ht="15" hidden="1" customHeight="1">
      <c r="C20" s="672"/>
      <c r="K20" s="1366"/>
      <c r="L20" s="1366"/>
      <c r="W20" s="420"/>
      <c r="X20" s="417">
        <v>0</v>
      </c>
    </row>
    <row r="21" ht="15.75" customHeight="1">
      <c r="C21" s="176"/>
      <c r="D21" s="509"/>
      <c r="E21" s="509"/>
      <c r="F21" s="509"/>
      <c r="G21" s="509"/>
      <c r="H21" s="509"/>
      <c r="I21" s="509"/>
      <c r="J21" s="509"/>
      <c r="K21" s="1635"/>
      <c r="L21" s="1635"/>
      <c r="X21" s="505">
        <v>15</v>
      </c>
    </row>
    <row r="22" ht="23.25" customHeight="1">
      <c r="C22" s="176"/>
      <c r="D22" s="2237" t="str">
        <f>KNE_NAME_FORM</f>
        <v xml:space="preserve">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7"/>
      <c r="F22" s="2237"/>
      <c r="G22" s="2237"/>
      <c r="H22" s="2237"/>
      <c r="I22" s="2237"/>
      <c r="J22" s="676"/>
      <c r="K22" s="2248"/>
      <c r="L22" s="2248"/>
      <c r="M22" s="537"/>
      <c r="X22" s="505">
        <v>22</v>
      </c>
    </row>
    <row r="23" ht="15.75" customHeight="1">
      <c r="C23" s="176"/>
      <c r="D23" s="2176" t="str">
        <f>IF(org=0,"Не определено",org)</f>
        <v xml:space="preserve">филиал ПАО "ОГК-2" - Рязанская ГРЭС</v>
      </c>
      <c r="E23" s="2176"/>
      <c r="F23" s="2176"/>
      <c r="G23" s="2176"/>
      <c r="H23" s="2176"/>
      <c r="I23" s="2176"/>
      <c r="J23" s="676"/>
      <c r="K23" s="2249"/>
      <c r="L23" s="2249"/>
      <c r="M23" s="537"/>
      <c r="X23" s="505">
        <v>15</v>
      </c>
    </row>
    <row r="24" ht="15.75" customHeight="1">
      <c r="C24" s="176"/>
      <c r="D24" s="509"/>
      <c r="E24" s="509"/>
      <c r="F24" s="509"/>
      <c r="G24" s="537">
        <v>22</v>
      </c>
      <c r="H24" s="752"/>
      <c r="I24" s="537">
        <v>22</v>
      </c>
      <c r="J24" s="752"/>
      <c r="K24" s="1366" t="s">
        <v>22</v>
      </c>
      <c r="L24" s="752"/>
      <c r="X24" s="505">
        <v>15</v>
      </c>
    </row>
    <row r="25" s="1635" customFormat="1" ht="1.05" customHeight="1">
      <c r="A25" s="759"/>
      <c r="C25" s="176"/>
      <c r="D25" s="509"/>
      <c r="E25" s="509"/>
      <c r="F25" s="509"/>
      <c r="G25" s="537"/>
      <c r="H25" s="752"/>
      <c r="I25" s="537" t="s">
        <v>117</v>
      </c>
      <c r="J25" s="752"/>
      <c r="K25" s="1366" t="s">
        <v>123</v>
      </c>
      <c r="L25" s="752"/>
      <c r="M25" s="417"/>
      <c r="W25" s="675"/>
      <c r="X25" s="758">
        <v>1</v>
      </c>
    </row>
    <row r="26" ht="15.75" customHeight="1">
      <c r="C26" s="176"/>
      <c r="D26" s="711"/>
      <c r="E26" s="2367" t="s">
        <v>105</v>
      </c>
      <c r="F26" s="2368"/>
      <c r="G26" s="2395" t="str">
        <f>IF(G25="","",INDEX(DIFFERENTIATION_UNMERGE_VD,MATCH(G25,DIFFERENTIATION_ID_DIFF,0)))</f>
        <v/>
      </c>
      <c r="H26" s="2396"/>
      <c r="I26" s="2395" t="str">
        <f>IF(I25="","",INDEX(DIFFERENTIATION_UNMERGE_VD,MATCH(I25,DIFFERENTIATION_ID_DIFF,0)))</f>
        <v>Водоотведение</v>
      </c>
      <c r="J26" s="2396"/>
      <c r="K26" s="2395" t="str">
        <f>IF(K25="","",INDEX(DIFFERENTIATION_UNMERGE_VD,MATCH(K25,DIFFERENTIATION_ID_DIFF,0)))</f>
        <v>Транспортировка</v>
      </c>
      <c r="L26" s="2396"/>
      <c r="M26" s="2175" t="s">
        <v>303</v>
      </c>
      <c r="X26" s="505">
        <v>15</v>
      </c>
    </row>
    <row r="27" s="1635" customFormat="1" ht="15.75" customHeight="1">
      <c r="A27" s="759"/>
      <c r="C27" s="176"/>
      <c r="D27" s="711"/>
      <c r="E27" s="2367" t="s">
        <v>566</v>
      </c>
      <c r="F27" s="2368"/>
      <c r="G27" s="2395" t="str">
        <f>IF(G25="","",INDEX(DIFFERENTIATION_UNMERGE_AREA,MATCH(G25,DIFFERENTIATION_ID_DIFF,0)))</f>
        <v/>
      </c>
      <c r="H27" s="2396"/>
      <c r="I27" s="2395" t="str">
        <f>IF(I25="","",INDEX(DIFFERENTIATION_UNMERGE_AREA,MATCH(I25,DIFFERENTIATION_ID_DIFF,0)))</f>
        <v xml:space="preserve">без дифференциации</v>
      </c>
      <c r="J27" s="2396"/>
      <c r="K27" s="2395" t="str">
        <f>IF(K25="","",INDEX(DIFFERENTIATION_UNMERGE_AREA,MATCH(K25,DIFFERENTIATION_ID_DIFF,0)))</f>
        <v xml:space="preserve">без дифференциации</v>
      </c>
      <c r="L27" s="2396"/>
      <c r="M27" s="2195"/>
      <c r="W27" s="675"/>
      <c r="X27" s="758">
        <v>15</v>
      </c>
    </row>
    <row r="28" s="1635" customFormat="1" ht="15.75" customHeight="1">
      <c r="A28" s="759"/>
      <c r="C28" s="176"/>
      <c r="D28" s="711"/>
      <c r="E28" s="2367" t="s">
        <v>567</v>
      </c>
      <c r="F28" s="2368"/>
      <c r="G28" s="2395" t="str">
        <f>IF(G25="","",INDEX(DIFFERENTIATION_UNMERGE_SYSTEM,MATCH(G25,DIFFERENTIATION_ID_DIFF,0)))</f>
        <v/>
      </c>
      <c r="H28" s="2396"/>
      <c r="I28" s="2395" t="str">
        <f>IF(I25="","",INDEX(DIFFERENTIATION_UNMERGE_SYSTEM,MATCH(I25,DIFFERENTIATION_ID_DIFF,0)))</f>
        <v xml:space="preserve">без дифференциации</v>
      </c>
      <c r="J28" s="2396"/>
      <c r="K28" s="2395" t="str">
        <f>IF(K25="","",INDEX(DIFFERENTIATION_UNMERGE_SYSTEM,MATCH(K25,DIFFERENTIATION_ID_DIFF,0)))</f>
        <v xml:space="preserve">без дифференциации</v>
      </c>
      <c r="L28" s="2396"/>
      <c r="M28" s="2195"/>
      <c r="W28" s="675"/>
      <c r="X28" s="758">
        <v>15</v>
      </c>
    </row>
    <row r="29" s="1635" customFormat="1" ht="15.75" customHeight="1">
      <c r="A29" s="759"/>
      <c r="C29" s="176"/>
      <c r="D29" s="2369" t="s">
        <v>302</v>
      </c>
      <c r="E29" s="2370"/>
      <c r="F29" s="2370"/>
      <c r="G29" s="887"/>
      <c r="H29" s="887"/>
      <c r="I29" s="887"/>
      <c r="J29" s="888"/>
      <c r="K29" s="2367"/>
      <c r="L29" s="2367"/>
      <c r="M29" s="2195"/>
      <c r="W29" s="675"/>
      <c r="X29" s="758">
        <v>15</v>
      </c>
    </row>
    <row r="30" ht="35.649999999999999" customHeight="1">
      <c r="C30" s="176"/>
      <c r="D30" s="761" t="s">
        <v>87</v>
      </c>
      <c r="E30" s="760" t="s">
        <v>304</v>
      </c>
      <c r="F30" s="760" t="s">
        <v>568</v>
      </c>
      <c r="G30" s="808" t="s">
        <v>305</v>
      </c>
      <c r="H30" s="807" t="s">
        <v>392</v>
      </c>
      <c r="I30" s="684" t="s">
        <v>305</v>
      </c>
      <c r="J30" s="465" t="s">
        <v>392</v>
      </c>
      <c r="K30" s="2262" t="s">
        <v>305</v>
      </c>
      <c r="L30" s="2312" t="s">
        <v>392</v>
      </c>
      <c r="M30" s="2201"/>
      <c r="X30" s="505">
        <v>34</v>
      </c>
    </row>
    <row r="31" ht="15" hidden="1" customHeight="1">
      <c r="C31" s="176"/>
      <c r="D31" s="593"/>
      <c r="E31" s="593"/>
      <c r="F31" s="593"/>
      <c r="G31" s="659"/>
      <c r="H31" s="659"/>
      <c r="I31" s="659"/>
      <c r="J31" s="659"/>
      <c r="K31" s="683"/>
      <c r="L31" s="683"/>
      <c r="M31" s="289"/>
      <c r="X31" s="505">
        <v>0</v>
      </c>
    </row>
    <row r="32" ht="24" customHeight="1">
      <c r="A32" s="505"/>
      <c r="B32" s="505" t="s">
        <v>953</v>
      </c>
      <c r="C32" s="526"/>
      <c r="D32" s="692">
        <v>1</v>
      </c>
      <c r="E32" s="693" t="s">
        <v>954</v>
      </c>
      <c r="F32" s="691" t="s">
        <v>308</v>
      </c>
      <c r="G32" s="813" t="s">
        <v>308</v>
      </c>
      <c r="H32" s="813" t="s">
        <v>308</v>
      </c>
      <c r="I32" s="691" t="s">
        <v>308</v>
      </c>
      <c r="J32" s="691" t="s">
        <v>308</v>
      </c>
      <c r="K32" s="2263" t="s">
        <v>308</v>
      </c>
      <c r="L32" s="2263" t="s">
        <v>308</v>
      </c>
      <c r="M32" s="289"/>
      <c r="X32" s="505">
        <v>23</v>
      </c>
    </row>
    <row r="33" ht="11.5" customHeight="1">
      <c r="A33" s="505"/>
      <c r="C33" s="505"/>
      <c r="D33" s="347"/>
      <c r="E33" s="580" t="s">
        <v>588</v>
      </c>
      <c r="F33" s="572"/>
      <c r="G33" s="572"/>
      <c r="H33" s="572"/>
      <c r="I33" s="572"/>
      <c r="J33" s="572"/>
      <c r="K33" s="2637"/>
      <c r="L33" s="2637"/>
      <c r="M33" s="573"/>
      <c r="W33" s="505"/>
      <c r="X33" s="505">
        <v>11</v>
      </c>
    </row>
    <row r="34" ht="24" customHeight="1">
      <c r="A34" s="505"/>
      <c r="B34" s="581" t="s">
        <v>639</v>
      </c>
      <c r="C34" s="526"/>
      <c r="D34" s="692">
        <v>2</v>
      </c>
      <c r="E34" s="693" t="s">
        <v>955</v>
      </c>
      <c r="F34" s="820" t="s">
        <v>308</v>
      </c>
      <c r="G34" s="820" t="s">
        <v>308</v>
      </c>
      <c r="H34" s="820" t="s">
        <v>308</v>
      </c>
      <c r="I34" s="691"/>
      <c r="J34" s="691"/>
      <c r="K34" s="2263" t="s">
        <v>308</v>
      </c>
      <c r="L34" s="2263" t="s">
        <v>308</v>
      </c>
      <c r="M34" s="289"/>
      <c r="X34" s="505">
        <v>23</v>
      </c>
    </row>
    <row r="35" ht="11.5" customHeight="1">
      <c r="A35" s="505"/>
      <c r="C35" s="505"/>
      <c r="D35" s="347"/>
      <c r="E35" s="580" t="s">
        <v>956</v>
      </c>
      <c r="F35" s="572"/>
      <c r="G35" s="694"/>
      <c r="H35" s="572"/>
      <c r="I35" s="694"/>
      <c r="J35" s="572"/>
      <c r="K35" s="2638"/>
      <c r="L35" s="2637"/>
      <c r="M35" s="573"/>
      <c r="W35" s="505"/>
      <c r="X35" s="505">
        <v>11</v>
      </c>
    </row>
    <row r="36" ht="71.25" customHeight="1">
      <c r="A36" s="505"/>
      <c r="B36" s="505" t="s">
        <v>957</v>
      </c>
      <c r="C36" s="526"/>
      <c r="D36" s="692">
        <v>3</v>
      </c>
      <c r="E36" s="693" t="s">
        <v>958</v>
      </c>
      <c r="F36" s="695" t="s">
        <v>308</v>
      </c>
      <c r="G36" s="814" t="s">
        <v>959</v>
      </c>
      <c r="H36" s="813" t="s">
        <v>308</v>
      </c>
      <c r="I36" s="524" t="s">
        <v>959</v>
      </c>
      <c r="J36" s="691" t="s">
        <v>308</v>
      </c>
      <c r="K36" s="2107" t="s">
        <v>959</v>
      </c>
      <c r="L36" s="2263" t="s">
        <v>308</v>
      </c>
      <c r="M36" s="289" t="s">
        <v>960</v>
      </c>
      <c r="X36" s="505">
        <v>68</v>
      </c>
    </row>
    <row r="37" ht="11.5" customHeight="1">
      <c r="A37" s="505"/>
      <c r="C37" s="505"/>
      <c r="D37" s="347"/>
      <c r="E37" s="580" t="s">
        <v>961</v>
      </c>
      <c r="F37" s="572"/>
      <c r="G37" s="694"/>
      <c r="H37" s="694"/>
      <c r="I37" s="694"/>
      <c r="J37" s="694"/>
      <c r="K37" s="2638"/>
      <c r="L37" s="2638"/>
      <c r="M37" s="573"/>
      <c r="W37" s="505"/>
      <c r="X37" s="505">
        <v>11</v>
      </c>
    </row>
    <row r="38" ht="71.25" customHeight="1">
      <c r="A38" s="505"/>
      <c r="B38" s="505" t="s">
        <v>962</v>
      </c>
      <c r="C38" s="526"/>
      <c r="D38" s="692">
        <v>4</v>
      </c>
      <c r="E38" s="693" t="s">
        <v>963</v>
      </c>
      <c r="F38" s="695" t="s">
        <v>308</v>
      </c>
      <c r="G38" s="814" t="s">
        <v>959</v>
      </c>
      <c r="H38" s="815" t="s">
        <v>308</v>
      </c>
      <c r="I38" s="524" t="s">
        <v>959</v>
      </c>
      <c r="J38" s="521" t="s">
        <v>308</v>
      </c>
      <c r="K38" s="2107" t="s">
        <v>959</v>
      </c>
      <c r="L38" s="2312" t="s">
        <v>308</v>
      </c>
      <c r="M38" s="679" t="s">
        <v>964</v>
      </c>
      <c r="X38" s="505">
        <v>68</v>
      </c>
    </row>
    <row r="39" ht="11.5" customHeight="1">
      <c r="A39" s="505"/>
      <c r="C39" s="505"/>
      <c r="D39" s="347"/>
      <c r="E39" s="580" t="s">
        <v>965</v>
      </c>
      <c r="F39" s="572"/>
      <c r="G39" s="572"/>
      <c r="H39" s="696"/>
      <c r="I39" s="572"/>
      <c r="J39" s="696"/>
      <c r="K39" s="2637"/>
      <c r="L39" s="2639"/>
      <c r="M39" s="573"/>
      <c r="W39" s="505"/>
      <c r="X39" s="505">
        <v>11</v>
      </c>
    </row>
    <row r="40" ht="22.5" hidden="1" customHeight="1">
      <c r="A40" s="449" t="s">
        <v>81</v>
      </c>
      <c r="B40" s="505">
        <v>0</v>
      </c>
      <c r="C40" s="683">
        <v>4</v>
      </c>
      <c r="D40" s="505">
        <v>6</v>
      </c>
      <c r="E40" s="505">
        <v>36</v>
      </c>
      <c r="F40" s="505">
        <v>9</v>
      </c>
      <c r="G40" s="758">
        <v>0</v>
      </c>
      <c r="H40" s="758">
        <v>0</v>
      </c>
      <c r="I40" s="505">
        <v>25</v>
      </c>
      <c r="J40" s="505">
        <v>33</v>
      </c>
      <c r="K40" s="1635">
        <v>0</v>
      </c>
      <c r="L40" s="1635">
        <v>0</v>
      </c>
      <c r="M40" s="417">
        <v>93</v>
      </c>
      <c r="N40" s="505">
        <v>10</v>
      </c>
      <c r="O40" s="505">
        <v>10</v>
      </c>
      <c r="P40" s="505">
        <v>10</v>
      </c>
      <c r="Q40" s="505">
        <v>10</v>
      </c>
      <c r="R40" s="505">
        <v>10</v>
      </c>
      <c r="S40" s="505">
        <v>10</v>
      </c>
      <c r="T40" s="505">
        <v>10</v>
      </c>
      <c r="U40" s="505">
        <v>10</v>
      </c>
      <c r="V40" s="505">
        <v>10</v>
      </c>
      <c r="W40" s="675">
        <v>10</v>
      </c>
      <c r="X40" s="505">
        <v>23</v>
      </c>
    </row>
  </sheetData>
  <sheetProtection autoFilter="0" deleteColumns="0" deleteRows="0" formatColumns="0" formatRows="0" insertColumns="1" insertRows="0" sort="0"/>
  <mergeCells count="24">
    <mergeCell ref="B3:B4"/>
    <mergeCell ref="C3:C4"/>
    <mergeCell ref="B6:B7"/>
    <mergeCell ref="C6:C7"/>
    <mergeCell ref="B9:B11"/>
    <mergeCell ref="C9:C11"/>
    <mergeCell ref="B13:B14"/>
    <mergeCell ref="C13:C14"/>
    <mergeCell ref="D22:I22"/>
    <mergeCell ref="D23:I23"/>
    <mergeCell ref="I26:J26"/>
    <mergeCell ref="E26:F26"/>
    <mergeCell ref="G28:H28"/>
    <mergeCell ref="M26:M30"/>
    <mergeCell ref="E27:F27"/>
    <mergeCell ref="E28:F28"/>
    <mergeCell ref="I27:J27"/>
    <mergeCell ref="I28:J28"/>
    <mergeCell ref="G26:H26"/>
    <mergeCell ref="G27:H27"/>
    <mergeCell ref="D29:F29"/>
    <mergeCell ref="K28:L28"/>
    <mergeCell ref="K26:L26"/>
    <mergeCell ref="K27:L27"/>
  </mergeCells>
  <dataValidations count="3">
    <dataValidation sqref="I36 G38 I38 G36 K36 K38" allowBlank="1" prompt="Для выбора выполните двойной щелчок левой клавиши мыши по ячейке." showErrorMessage="1" showInputMessage="1"/>
    <dataValidation sqref="I14 I4 I10:I11 G7 G14 I7 G10:G11 G4 K4 K7 K10 K11 K14" allowBlank="1" prompt="Выберите дату из календаря (иконка справа от указанной ячейки), либо введите дату непосредственно в ячейку в формате - 'ДД.ММ.ГГГГ'." showErrorMessage="1" showInputMessage="1"/>
    <dataValidation sqref="E30" allowBlank="1" prompt="Количество поданных заявок на подключение (технологическое присоединение) к системе теплоснабжения в течение квартала, шт." showErrorMessage="1" showInputMessage="1"/>
  </dataValidations>
  <pageMargins left="0.69999999999999996" right="0.69999999999999996" top="0.75" bottom="0.75" header="0.29999999999999999" footer="0.29999999999999999"/>
  <pageSetup paperSize="9"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2">
        <x14:dataValidation xr:uid="{00BD00FF-00B8-4FD7-9293-000800D100B3}" type="textLength" allowBlank="1" error="Допускается ввод не более 900 символов!" errorTitle="Ошибка" operator="lessThanOrEqual" prompt="Введите ссылку на обосновывающие материалы, загруженные с помощью &quot;ЕИАС Web&quot;." showErrorMessage="1" showInputMessage="1">
          <x14:formula1>
            <xm:f>900</xm:f>
          </x14:formula1>
          <xm:sqref>H3:H4 J3:J4 L3:L4 H6:H7 J6:J7 L6:L7 J9:J11 L9:L11 H9:H11 J13:J14 L13:L14 H13:H14</xm:sqref>
        </x14:dataValidation>
        <x14:dataValidation xr:uid="{00E5008A-00FA-45C9-B59E-00E200FE0083}" type="textLength" allowBlank="1" error="Допускается ввод не более 900 символов!" errorTitle="Ошибка" operator="lessThanOrEqual" showErrorMessage="1" showInputMessage="1">
          <x14:formula1>
            <xm:f>900</xm:f>
          </x14:formula1>
          <xm:sqref>I3 I6 I9 I13 G6 G13 G9 G3 K3 K6 K9 K13</xm:sqref>
        </x14:dataValidation>
      </x14:dataValidations>
    </ext>
  </extLst>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9" tint="-0.25"/>
  </sheetPr>
  <sheetViews>
    <sheetView showGridLines="0" topLeftCell="A1" zoomScale="85" workbookViewId="0">
      <selection activeCell="A1" sqref="A1"/>
    </sheetView>
  </sheetViews>
  <sheetFormatPr defaultColWidth="9.140625" defaultRowHeight="10.5" customHeight="1"/>
  <cols>
    <col customWidth="1" hidden="1" min="1" max="3" style="1166" width="6.7109375"/>
    <col customWidth="1" hidden="1" min="4" max="4" style="1366" width="6.7109375"/>
    <col customWidth="1" min="5" max="5" style="1635" width="3.00390625"/>
    <col customWidth="1" min="6" max="6" style="1635" width="6.00390625"/>
    <col customWidth="1" min="7" max="7" style="1635" width="37.00390625"/>
    <col customWidth="1" min="8" max="8" style="1635" width="16.00390625"/>
    <col customWidth="1" min="9" max="10" style="1635" width="19.00390625"/>
    <col customWidth="1" min="11" max="11" style="1635" width="24.00390625"/>
    <col customWidth="1" min="12" max="13" style="1635" width="25.00390625"/>
    <col customWidth="1" min="14" max="16" style="1635" width="17.00390625"/>
    <col customWidth="1" min="17" max="24" style="1635" width="19.00390625"/>
    <col customWidth="1" min="25" max="25" style="1635" width="7.00390625"/>
    <col customWidth="1" min="26" max="26" style="1635" width="3.00390625"/>
    <col customWidth="1" min="27" max="27" style="1635" width="6.00390625"/>
    <col customWidth="1" min="28" max="28" style="1635" width="34.00390625"/>
    <col customWidth="1" min="29" max="30" style="1635" width="8.00390625"/>
    <col hidden="1" min="31" max="31" style="1635" width="9.140625"/>
  </cols>
  <sheetData>
    <row r="1" s="1366" customFormat="1" ht="10.5" hidden="1" customHeight="1">
      <c r="A1" s="895"/>
      <c r="B1" s="895"/>
      <c r="C1" s="895"/>
      <c r="E1" s="537"/>
      <c r="H1" s="1160"/>
      <c r="AE1" s="417" t="s">
        <v>14</v>
      </c>
    </row>
    <row r="2" ht="10.5" hidden="1" customHeight="1">
      <c r="AE2" s="758">
        <v>0</v>
      </c>
    </row>
    <row r="3" s="1632" customFormat="1" ht="10.5" hidden="1" customHeight="1">
      <c r="A3" s="895"/>
      <c r="B3" s="895"/>
      <c r="C3" s="895"/>
      <c r="D3" s="417"/>
      <c r="E3" s="362"/>
      <c r="G3" s="1632" t="s">
        <v>966</v>
      </c>
      <c r="H3" s="1156"/>
      <c r="AE3" s="759">
        <v>0</v>
      </c>
    </row>
    <row r="4" ht="3" customHeight="1">
      <c r="AE4" s="758">
        <v>3</v>
      </c>
    </row>
    <row r="5" ht="27.300000000000001" customHeight="1">
      <c r="F5" s="2248" t="str">
        <f>IP_NAME_FORM</f>
        <v xml:space="preserve">Форма 7. Информация об инвестиционных программах организации водоотведения и отчетах об их исполнении</v>
      </c>
      <c r="G5" s="2248"/>
      <c r="H5" s="2248"/>
      <c r="I5" s="2248"/>
      <c r="J5" s="2248"/>
      <c r="K5" s="2248"/>
      <c r="M5" s="582"/>
      <c r="AB5" s="906"/>
      <c r="AE5" s="758">
        <v>26</v>
      </c>
    </row>
    <row r="6" s="1635" customFormat="1" ht="16.800000000000001" customHeight="1">
      <c r="A6" s="1166"/>
      <c r="B6" s="1166"/>
      <c r="C6" s="1166"/>
      <c r="D6" s="1160"/>
      <c r="E6" s="1635"/>
      <c r="F6" s="2249" t="str">
        <f>IF(org=0,"Не определено",org)</f>
        <v xml:space="preserve">филиал ПАО "ОГК-2" - Рязанская ГРЭС</v>
      </c>
      <c r="G6" s="2249"/>
      <c r="H6" s="2249"/>
      <c r="I6" s="2249"/>
      <c r="J6" s="2249"/>
      <c r="K6" s="2249"/>
      <c r="M6" s="582"/>
      <c r="AB6" s="1148"/>
      <c r="AE6" s="1631">
        <v>16</v>
      </c>
    </row>
    <row r="7" ht="10.5" customHeight="1">
      <c r="AE7" s="758">
        <v>10</v>
      </c>
    </row>
    <row r="8" ht="10.5" customHeight="1">
      <c r="A8" s="1051"/>
      <c r="B8" s="1051"/>
      <c r="C8" s="1051"/>
      <c r="F8" s="2101" t="s">
        <v>302</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r="9" ht="43.049999999999997" customHeight="1">
      <c r="A9" s="905"/>
      <c r="B9" s="905"/>
      <c r="C9" s="905"/>
      <c r="F9" s="2127" t="s">
        <v>87</v>
      </c>
      <c r="G9" s="2127" t="s">
        <v>966</v>
      </c>
      <c r="H9" s="2175" t="s">
        <v>967</v>
      </c>
      <c r="I9" s="2127" t="s">
        <v>968</v>
      </c>
      <c r="J9" s="2127" t="s">
        <v>969</v>
      </c>
      <c r="K9" s="2127" t="s">
        <v>970</v>
      </c>
      <c r="L9" s="2127" t="s">
        <v>971</v>
      </c>
      <c r="M9" s="2127" t="s">
        <v>972</v>
      </c>
      <c r="N9" s="2209" t="s">
        <v>973</v>
      </c>
      <c r="O9" s="2209"/>
      <c r="P9" s="2209"/>
      <c r="Q9" s="2399" t="s">
        <v>974</v>
      </c>
      <c r="R9" s="2400"/>
      <c r="S9" s="2400"/>
      <c r="T9" s="2401"/>
      <c r="U9" s="2399" t="s">
        <v>975</v>
      </c>
      <c r="V9" s="2400"/>
      <c r="W9" s="2400"/>
      <c r="X9" s="2401"/>
      <c r="Y9" s="2101" t="s">
        <v>976</v>
      </c>
      <c r="Z9" s="2102"/>
      <c r="AA9" s="2102"/>
      <c r="AB9" s="2103"/>
      <c r="AE9" s="758">
        <v>41</v>
      </c>
    </row>
    <row r="10" ht="43.049999999999997" customHeight="1">
      <c r="A10" s="905"/>
      <c r="B10" s="905"/>
      <c r="C10" s="905"/>
      <c r="F10" s="2175"/>
      <c r="G10" s="2175"/>
      <c r="H10" s="2232"/>
      <c r="I10" s="2175"/>
      <c r="J10" s="2175"/>
      <c r="K10" s="2175"/>
      <c r="L10" s="2175"/>
      <c r="M10" s="2175"/>
      <c r="N10" s="903" t="s">
        <v>977</v>
      </c>
      <c r="O10" s="903" t="s">
        <v>978</v>
      </c>
      <c r="P10" s="904" t="s">
        <v>979</v>
      </c>
      <c r="Q10" s="915" t="s">
        <v>88</v>
      </c>
      <c r="R10" s="915" t="s">
        <v>980</v>
      </c>
      <c r="S10" s="915" t="s">
        <v>981</v>
      </c>
      <c r="T10" s="916" t="s">
        <v>982</v>
      </c>
      <c r="U10" s="915" t="s">
        <v>88</v>
      </c>
      <c r="V10" s="915" t="s">
        <v>983</v>
      </c>
      <c r="W10" s="915" t="s">
        <v>981</v>
      </c>
      <c r="X10" s="916" t="s">
        <v>982</v>
      </c>
      <c r="Y10" s="301" t="s">
        <v>984</v>
      </c>
      <c r="Z10" s="2101" t="s">
        <v>87</v>
      </c>
      <c r="AA10" s="2103"/>
      <c r="AB10" s="1049" t="s">
        <v>985</v>
      </c>
      <c r="AE10" s="758">
        <v>41</v>
      </c>
    </row>
    <row r="11" s="1642" customFormat="1" ht="5.25" hidden="1" customHeight="1">
      <c r="A11" s="1052"/>
      <c r="B11" s="1052"/>
      <c r="C11" s="1052"/>
      <c r="E11" s="1050"/>
      <c r="F11" s="2406" t="s">
        <v>378</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986</v>
      </c>
      <c r="AE11" s="511">
        <v>0</v>
      </c>
    </row>
    <row r="12" s="1642" customFormat="1" ht="5.25" hidden="1" customHeight="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r="13" ht="10.5" customHeight="1">
      <c r="F13" s="902"/>
      <c r="G13" s="650" t="s">
        <v>987</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r="14" ht="10.5" customHeight="1">
      <c r="AE14" s="758">
        <v>10</v>
      </c>
    </row>
    <row r="15" s="1642" customFormat="1" ht="10.5" customHeight="1">
      <c r="A15" s="1167"/>
      <c r="B15" s="1167"/>
      <c r="C15" s="1167"/>
      <c r="E15" s="518"/>
      <c r="H15" s="511">
        <f>_xlfn.IFERROR(MATCH("нет",IP_MAIN_DIFFERENTIATION_EVENTS_FLAG,0),0)</f>
        <v>0</v>
      </c>
      <c r="AE15" s="511">
        <v>10</v>
      </c>
    </row>
    <row r="16" ht="10.5" hidden="1" customHeight="1">
      <c r="A16" s="895" t="s">
        <v>81</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autoFilter="0" deleteColumns="0" deleteRows="0" formatColumns="0" formatRows="0" insertColumns="1" insertRows="0" sort="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69999999999999996" right="0.69999999999999996" top="0.75" bottom="0.75" header="0.29999999999999999" footer="0.29999999999999999"/>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9" tint="-0.25"/>
  </sheetPr>
  <sheetViews>
    <sheetView showGridLines="0" topLeftCell="A1" zoomScale="90" workbookViewId="0">
      <selection activeCell="A1" sqref="A1"/>
    </sheetView>
  </sheetViews>
  <sheetFormatPr defaultColWidth="9.140625" defaultRowHeight="10.5" customHeight="1"/>
  <cols>
    <col customWidth="1" hidden="1" min="1" max="3" style="1166" width="4.140625"/>
    <col customWidth="1" hidden="1" min="4" max="4" style="1366" width="4.140625"/>
    <col customWidth="1" min="5" max="5" style="1635" width="3.00390625"/>
    <col customWidth="1" min="6" max="6" style="1635" width="14.00390625"/>
    <col customWidth="1" min="7" max="7" style="1635" width="3.00390625"/>
    <col customWidth="1" min="8" max="8" style="1635" width="7.00390625"/>
    <col customWidth="1" min="9" max="10" style="1635" width="16.00390625"/>
    <col customWidth="1" min="11" max="11" style="1635" width="25.00390625"/>
    <col customWidth="1" min="12" max="12" style="1635" width="7.00390625"/>
    <col customWidth="1" min="13" max="13" style="1635" width="15.00390625"/>
    <col customWidth="1" min="14" max="14" style="1635" width="3.00390625"/>
    <col customWidth="1" min="15" max="15" style="1635" width="4.00390625"/>
    <col customWidth="1" min="16" max="16" style="1635" width="8.00390625"/>
    <col customWidth="1" min="17" max="17" style="1635" width="21.00390625"/>
    <col customWidth="1" min="18" max="18" style="1635" width="14.00390625"/>
    <col customWidth="1" min="19" max="20" style="1635" width="17.00390625"/>
    <col customWidth="1" min="21" max="21" style="1635" width="9.00390625"/>
    <col customWidth="1" min="22" max="22" style="1635" width="12.00390625"/>
    <col customWidth="1" min="23" max="23" style="1635" width="9.00390625"/>
    <col customWidth="1" min="24" max="24" style="1635" width="21.00390625"/>
    <col customWidth="1" min="25" max="25" style="1635" width="12.00390625"/>
    <col customWidth="1" min="26" max="26" style="1635" width="3.00390625"/>
    <col customWidth="1" min="27" max="27" style="1635" width="6.00390625"/>
    <col customWidth="1" min="28" max="28" style="1635" width="38.00390625"/>
    <col customWidth="1" min="29" max="29" style="1635" width="15.00390625"/>
    <col customWidth="1" hidden="1" min="30" max="30" style="1635" width="37.57421875"/>
    <col customWidth="1" hidden="1" min="31" max="31" style="1635" width="15.7109375"/>
    <col customWidth="1" min="32" max="34" style="1635" width="16.00390625"/>
    <col customWidth="1" hidden="1" min="35" max="37" style="1635" width="16.7109375"/>
    <col customWidth="1" min="38" max="58" style="1635" width="8.00390625"/>
    <col hidden="1" min="59" max="59" style="1635" width="9.140625"/>
  </cols>
  <sheetData>
    <row r="1" s="1366" customFormat="1" ht="10.5" hidden="1" customHeight="1">
      <c r="A1" s="895"/>
      <c r="B1" s="895"/>
      <c r="C1" s="895"/>
      <c r="E1" s="537"/>
      <c r="H1" s="1160"/>
      <c r="L1" s="1128"/>
      <c r="M1" s="1128"/>
      <c r="AD1" s="1128"/>
      <c r="AH1" s="1147"/>
      <c r="AI1" s="1140"/>
      <c r="BG1" s="417" t="s">
        <v>14</v>
      </c>
    </row>
    <row r="2" ht="10.5" hidden="1" customHeight="1">
      <c r="BG2" s="758">
        <v>0</v>
      </c>
    </row>
    <row r="3" s="1632" customFormat="1" ht="10.5" hidden="1" customHeight="1">
      <c r="A3" s="895"/>
      <c r="B3" s="895"/>
      <c r="C3" s="895"/>
      <c r="D3" s="417"/>
      <c r="E3" s="362"/>
      <c r="H3" s="1156"/>
      <c r="L3" s="1126"/>
      <c r="M3" s="1126"/>
      <c r="AD3" s="1126"/>
      <c r="AH3" s="1145"/>
      <c r="AI3" s="1138"/>
      <c r="BG3" s="759">
        <v>0</v>
      </c>
    </row>
    <row r="4" ht="3" customHeight="1">
      <c r="BG4" s="758">
        <v>3</v>
      </c>
    </row>
    <row r="5" ht="27.300000000000001" customHeight="1">
      <c r="F5" s="2248" t="str">
        <f>IP_NAME_FORM</f>
        <v xml:space="preserve">Форма 7. Информация об инвестиционных программах организации водоотведения и отчетах об их исполнении</v>
      </c>
      <c r="G5" s="2248"/>
      <c r="H5" s="2248"/>
      <c r="I5" s="2248"/>
      <c r="J5" s="2248"/>
      <c r="K5" s="2248"/>
      <c r="L5" s="1135"/>
      <c r="M5" s="1135"/>
      <c r="AG5" s="906"/>
      <c r="AH5" s="1148"/>
      <c r="BG5" s="758">
        <v>26</v>
      </c>
    </row>
    <row r="6" ht="10.5" customHeight="1">
      <c r="F6" s="2176" t="str">
        <f>IF(org=0,"Не определено",org)</f>
        <v xml:space="preserve">филиал ПАО "ОГК-2" - Рязанская ГРЭС</v>
      </c>
      <c r="G6" s="2176"/>
      <c r="H6" s="2176"/>
      <c r="I6" s="2176"/>
      <c r="J6" s="2176"/>
      <c r="K6" s="2176"/>
      <c r="L6" s="1136"/>
      <c r="M6" s="1136"/>
      <c r="BG6" s="758">
        <v>10</v>
      </c>
    </row>
    <row r="7" ht="11.5" customHeight="1">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r="8" ht="10.5" customHeight="1">
      <c r="E8" s="908"/>
      <c r="F8" s="2415" t="s">
        <v>302</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r="9" ht="24" customHeight="1">
      <c r="A9" s="905"/>
      <c r="B9" s="905"/>
      <c r="C9" s="905"/>
      <c r="E9" s="908"/>
      <c r="F9" s="2408" t="s">
        <v>988</v>
      </c>
      <c r="G9" s="2409" t="s">
        <v>989</v>
      </c>
      <c r="H9" s="2410"/>
      <c r="I9" s="2127" t="s">
        <v>990</v>
      </c>
      <c r="J9" s="2127"/>
      <c r="K9" s="2127" t="s">
        <v>991</v>
      </c>
      <c r="L9" s="2127"/>
      <c r="M9" s="2127"/>
      <c r="N9" s="2127"/>
      <c r="O9" s="2127"/>
      <c r="P9" s="2127"/>
      <c r="Q9" s="2127"/>
      <c r="R9" s="2127"/>
      <c r="S9" s="2127"/>
      <c r="T9" s="2127"/>
      <c r="U9" s="2127"/>
      <c r="V9" s="2127"/>
      <c r="W9" s="2127"/>
      <c r="X9" s="2127"/>
      <c r="Y9" s="2127"/>
      <c r="Z9" s="2192" t="s">
        <v>992</v>
      </c>
      <c r="AA9" s="2193"/>
      <c r="AB9" s="2127" t="s">
        <v>993</v>
      </c>
      <c r="AC9" s="2127"/>
      <c r="AD9" s="2127"/>
      <c r="AE9" s="2127"/>
      <c r="AF9" s="2175" t="s">
        <v>994</v>
      </c>
      <c r="AG9" s="2127" t="s">
        <v>995</v>
      </c>
      <c r="AH9" s="2127"/>
      <c r="AI9" s="2175" t="s">
        <v>996</v>
      </c>
      <c r="AJ9" s="2127" t="s">
        <v>997</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r="10" ht="25.199999999999999" customHeight="1">
      <c r="A10" s="905"/>
      <c r="B10" s="905"/>
      <c r="C10" s="905"/>
      <c r="E10" s="912"/>
      <c r="F10" s="2408"/>
      <c r="G10" s="2411"/>
      <c r="H10" s="2412"/>
      <c r="I10" s="2127"/>
      <c r="J10" s="2127"/>
      <c r="K10" s="2127" t="s">
        <v>998</v>
      </c>
      <c r="L10" s="2101" t="s">
        <v>999</v>
      </c>
      <c r="M10" s="2103"/>
      <c r="N10" s="2127" t="s">
        <v>1000</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r="11" s="1635" customFormat="1" ht="25.199999999999999" customHeight="1">
      <c r="A11" s="1129"/>
      <c r="B11" s="1129"/>
      <c r="C11" s="1129"/>
      <c r="D11" s="1128"/>
      <c r="E11" s="1130"/>
      <c r="F11" s="2408"/>
      <c r="G11" s="2411"/>
      <c r="H11" s="2412"/>
      <c r="I11" s="2127"/>
      <c r="J11" s="2127"/>
      <c r="K11" s="2127"/>
      <c r="L11" s="2175" t="s">
        <v>1001</v>
      </c>
      <c r="M11" s="2175" t="s">
        <v>1002</v>
      </c>
      <c r="N11" s="2127" t="s">
        <v>1003</v>
      </c>
      <c r="O11" s="2127"/>
      <c r="P11" s="2418" t="s">
        <v>984</v>
      </c>
      <c r="Q11" s="2418" t="s">
        <v>1004</v>
      </c>
      <c r="R11" s="2418" t="s">
        <v>1005</v>
      </c>
      <c r="S11" s="2418" t="s">
        <v>1006</v>
      </c>
      <c r="T11" s="2418"/>
      <c r="U11" s="2418"/>
      <c r="V11" s="2418"/>
      <c r="W11" s="2418"/>
      <c r="X11" s="2418"/>
      <c r="Y11" s="2418"/>
      <c r="Z11" s="2194"/>
      <c r="AA11" s="2195"/>
      <c r="AB11" s="2127" t="s">
        <v>1007</v>
      </c>
      <c r="AC11" s="2127"/>
      <c r="AD11" s="2101" t="s">
        <v>1008</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r="12" ht="35.649999999999999" customHeight="1">
      <c r="A12" s="905"/>
      <c r="B12" s="905"/>
      <c r="C12" s="905"/>
      <c r="E12" s="908"/>
      <c r="F12" s="2408"/>
      <c r="G12" s="2413"/>
      <c r="H12" s="2414"/>
      <c r="I12" s="1153" t="s">
        <v>88</v>
      </c>
      <c r="J12" s="1153" t="s">
        <v>1009</v>
      </c>
      <c r="K12" s="2127"/>
      <c r="L12" s="2232"/>
      <c r="M12" s="2232"/>
      <c r="N12" s="2127"/>
      <c r="O12" s="2127"/>
      <c r="P12" s="2418"/>
      <c r="Q12" s="2418"/>
      <c r="R12" s="2418"/>
      <c r="S12" s="1134" t="s">
        <v>85</v>
      </c>
      <c r="T12" s="1134" t="s">
        <v>86</v>
      </c>
      <c r="U12" s="1134" t="s">
        <v>84</v>
      </c>
      <c r="V12" s="1134" t="s">
        <v>1010</v>
      </c>
      <c r="W12" s="1134" t="s">
        <v>84</v>
      </c>
      <c r="X12" s="1134" t="s">
        <v>1011</v>
      </c>
      <c r="Y12" s="1134" t="s">
        <v>1012</v>
      </c>
      <c r="Z12" s="2200"/>
      <c r="AA12" s="2201"/>
      <c r="AB12" s="1141" t="s">
        <v>1013</v>
      </c>
      <c r="AC12" s="1141" t="s">
        <v>1014</v>
      </c>
      <c r="AD12" s="1141" t="s">
        <v>1013</v>
      </c>
      <c r="AE12" s="1141" t="s">
        <v>1014</v>
      </c>
      <c r="AF12" s="2232"/>
      <c r="AG12" s="1154" t="s">
        <v>1015</v>
      </c>
      <c r="AH12" s="1154" t="s">
        <v>1016</v>
      </c>
      <c r="AI12" s="2232"/>
      <c r="AJ12" s="1154" t="s">
        <v>1015</v>
      </c>
      <c r="AK12" s="1154" t="s">
        <v>1016</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r="13" ht="1.05" customHeight="1">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r="14" ht="10.5" customHeight="1">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r="15" ht="13.5" customHeight="1">
      <c r="E15" s="907"/>
      <c r="F15" s="914" t="s">
        <v>1017</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r="16" ht="10.5" customHeight="1">
      <c r="BG16" s="758">
        <v>10</v>
      </c>
    </row>
    <row r="17" ht="10.5" customHeight="1">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r="18" ht="10.5" customHeight="1">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r="19" ht="10.5" customHeight="1">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r="20" ht="10.5" hidden="1" customHeight="1">
      <c r="A20" s="895" t="s">
        <v>81</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autoFilter="0" deleteColumns="0" deleteRows="0" formatColumns="0" formatRows="0" insertColumns="1" insertRows="0" sort="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69999999999999996" right="0.69999999999999996" top="0.75" bottom="0.75" header="0.29999999999999999" footer="0.29999999999999999"/>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9" tint="-0.25"/>
  </sheetPr>
  <sheetViews>
    <sheetView showGridLines="0" topLeftCell="A1" zoomScale="85" workbookViewId="0">
      <selection activeCell="A1" sqref="A1"/>
    </sheetView>
  </sheetViews>
  <sheetFormatPr defaultColWidth="9.140625" defaultRowHeight="10.5" customHeight="1"/>
  <cols>
    <col customWidth="1" hidden="1" min="1" max="3" style="1166" width="4.140625"/>
    <col customWidth="1" hidden="1" min="4" max="4" style="1366" width="4.140625"/>
    <col customWidth="1" min="5" max="5" style="1635" width="3.00390625"/>
    <col customWidth="1" min="6" max="6" style="1635" width="6.00390625"/>
    <col customWidth="1" min="7" max="7" style="1635" width="60.00390625"/>
    <col customWidth="1" hidden="1" min="8" max="9" style="1635" width="21.7109375"/>
    <col customWidth="1" min="10" max="10" style="1635" width="0.140625"/>
    <col customWidth="1" min="11" max="11" style="1635" width="1.00390625"/>
    <col customWidth="1" min="12" max="22" style="1635" width="8.00390625"/>
    <col hidden="1" min="23" max="23" style="1635" width="9.140625"/>
  </cols>
  <sheetData>
    <row r="1" s="1366" customFormat="1" ht="10.5" hidden="1" customHeight="1">
      <c r="A1" s="1166"/>
      <c r="B1" s="1166"/>
      <c r="C1" s="1166"/>
      <c r="E1" s="537"/>
      <c r="W1" s="1160" t="s">
        <v>14</v>
      </c>
    </row>
    <row r="2" ht="10.5" hidden="1" customHeight="1">
      <c r="W2" s="1155">
        <v>0</v>
      </c>
    </row>
    <row r="3" s="1632" customFormat="1" ht="10.5" hidden="1" customHeight="1">
      <c r="A3" s="1166"/>
      <c r="B3" s="1166"/>
      <c r="C3" s="1166"/>
      <c r="D3" s="1160"/>
      <c r="E3" s="362"/>
      <c r="W3" s="1156">
        <v>0</v>
      </c>
    </row>
    <row r="4" ht="3" customHeight="1">
      <c r="W4" s="1155">
        <v>3</v>
      </c>
    </row>
    <row r="5" ht="27.300000000000001" customHeight="1">
      <c r="F5" s="2248" t="str">
        <f>IP_NAME_FORM&amp;"
Финансовый план"</f>
        <v xml:space="preserve">Форма 7. Информация об инвестиционных программах организации водоотведения и отчетах об их исполнении
Финансовый план</v>
      </c>
      <c r="G5" s="2248"/>
      <c r="H5" s="2248"/>
      <c r="I5" s="2248"/>
      <c r="J5" s="2248"/>
      <c r="W5" s="1155">
        <v>26</v>
      </c>
    </row>
    <row r="6" ht="10.5" customHeight="1">
      <c r="F6" s="2176" t="str">
        <f>IF(org=0,"Не определено",org)</f>
        <v xml:space="preserve">филиал ПАО "ОГК-2" - Рязанская ГРЭС</v>
      </c>
      <c r="G6" s="2176"/>
      <c r="H6" s="2176"/>
      <c r="I6" s="2176"/>
      <c r="J6" s="2176"/>
      <c r="W6" s="1155">
        <v>10</v>
      </c>
    </row>
    <row r="7" ht="11.5" customHeight="1">
      <c r="E7" s="1170"/>
      <c r="F7" s="1227"/>
      <c r="G7" s="1227"/>
      <c r="H7" s="1227"/>
      <c r="I7" s="1227"/>
      <c r="J7" s="1227"/>
      <c r="K7" s="1157"/>
      <c r="L7" s="1157"/>
      <c r="M7" s="1157"/>
      <c r="N7" s="1157"/>
      <c r="O7" s="1157"/>
      <c r="P7" s="1157"/>
      <c r="Q7" s="1157"/>
      <c r="R7" s="1157"/>
      <c r="S7" s="1157"/>
      <c r="T7" s="1157"/>
      <c r="U7" s="1157"/>
      <c r="V7" s="1157"/>
      <c r="W7" s="1155">
        <v>11</v>
      </c>
    </row>
    <row r="8" s="1642" customFormat="1" ht="4.2000000000000002" customHeight="1">
      <c r="A8" s="1167"/>
      <c r="B8" s="1167"/>
      <c r="C8" s="1167"/>
      <c r="E8" s="1228"/>
      <c r="F8" s="1229"/>
      <c r="G8" s="1229"/>
      <c r="H8" s="1229"/>
      <c r="I8" s="1229"/>
      <c r="J8" s="1229"/>
      <c r="K8" s="1228"/>
      <c r="L8" s="1228"/>
      <c r="M8" s="1228"/>
      <c r="N8" s="1228"/>
      <c r="O8" s="1228"/>
      <c r="P8" s="1228"/>
      <c r="Q8" s="1228"/>
      <c r="R8" s="1228"/>
      <c r="S8" s="1228"/>
      <c r="T8" s="1228"/>
      <c r="U8" s="1228"/>
      <c r="V8" s="1228"/>
      <c r="W8" s="511">
        <v>4</v>
      </c>
    </row>
    <row r="9" ht="10.5" customHeight="1">
      <c r="E9" s="1170"/>
      <c r="F9" s="2419" t="s">
        <v>302</v>
      </c>
      <c r="G9" s="2420"/>
      <c r="H9" s="2420"/>
      <c r="I9" s="2420"/>
      <c r="J9" s="2420"/>
      <c r="K9" s="1240"/>
      <c r="L9" s="1157"/>
      <c r="M9" s="1157"/>
      <c r="N9" s="1157"/>
      <c r="O9" s="1157"/>
      <c r="P9" s="1157"/>
      <c r="Q9" s="1157"/>
      <c r="R9" s="1157"/>
      <c r="S9" s="1157"/>
      <c r="T9" s="1157"/>
      <c r="U9" s="1157"/>
      <c r="V9" s="1157"/>
      <c r="W9" s="1155">
        <v>10</v>
      </c>
    </row>
    <row r="10" ht="25.199999999999999" customHeight="1">
      <c r="E10" s="1157"/>
      <c r="F10" s="2423" t="s">
        <v>87</v>
      </c>
      <c r="G10" s="2428" t="s">
        <v>1018</v>
      </c>
      <c r="H10" s="2426" t="s">
        <v>1019</v>
      </c>
      <c r="I10" s="2426"/>
      <c r="J10" s="2426"/>
      <c r="K10" s="1233"/>
      <c r="L10" s="1157"/>
      <c r="M10" s="1157"/>
      <c r="N10" s="1157"/>
      <c r="O10" s="1157"/>
      <c r="P10" s="1157"/>
      <c r="Q10" s="1157"/>
      <c r="R10" s="1157"/>
      <c r="S10" s="1157"/>
      <c r="T10" s="1157"/>
      <c r="U10" s="1157"/>
      <c r="V10" s="1157"/>
      <c r="W10" s="1155">
        <v>24</v>
      </c>
    </row>
    <row r="11" ht="25.5" customHeight="1">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r="12" ht="10.5" customHeight="1">
      <c r="F12" s="2425"/>
      <c r="G12" s="2428"/>
      <c r="H12" s="1226" t="s">
        <v>1020</v>
      </c>
      <c r="I12" s="1232"/>
      <c r="J12" s="1226"/>
      <c r="K12" s="1234"/>
      <c r="W12" s="1155">
        <v>10</v>
      </c>
    </row>
    <row r="13" ht="10.5" hidden="1" customHeight="1">
      <c r="F13" s="1226">
        <v>1</v>
      </c>
      <c r="G13" s="1226">
        <v>2</v>
      </c>
      <c r="H13" s="1226">
        <v>3</v>
      </c>
      <c r="I13" s="1226">
        <v>4</v>
      </c>
      <c r="J13" s="1226">
        <v>5</v>
      </c>
      <c r="K13" s="1234"/>
      <c r="W13" s="1155">
        <v>0</v>
      </c>
    </row>
    <row r="14" ht="11.5" customHeight="1">
      <c r="F14" s="1225" t="s">
        <v>1021</v>
      </c>
      <c r="G14" s="2421" t="s">
        <v>1022</v>
      </c>
      <c r="H14" s="2421"/>
      <c r="I14" s="2421"/>
      <c r="J14" s="2421"/>
      <c r="K14" s="1234"/>
      <c r="W14" s="1155">
        <v>11</v>
      </c>
    </row>
    <row r="15" ht="11.5" customHeight="1">
      <c r="F15" s="1230">
        <v>1</v>
      </c>
      <c r="G15" s="690" t="s">
        <v>1023</v>
      </c>
      <c r="H15" s="1236">
        <f>SUM(I15:J15)</f>
        <v>0</v>
      </c>
      <c r="I15" s="1236">
        <f>SUM(I16:I27)</f>
        <v>0</v>
      </c>
      <c r="J15" s="1225"/>
      <c r="K15" s="1234"/>
      <c r="W15" s="1155">
        <v>11</v>
      </c>
    </row>
    <row r="16" ht="24" customHeight="1">
      <c r="F16" s="1230" t="s">
        <v>1024</v>
      </c>
      <c r="G16" s="1237" t="s">
        <v>1025</v>
      </c>
      <c r="H16" s="1236">
        <f>SUM(I16:J16)</f>
        <v>0</v>
      </c>
      <c r="I16" s="1235"/>
      <c r="J16" s="1225"/>
      <c r="K16" s="1234"/>
      <c r="W16" s="1155">
        <v>23</v>
      </c>
    </row>
    <row r="17" ht="24" customHeight="1">
      <c r="F17" s="1230" t="s">
        <v>1026</v>
      </c>
      <c r="G17" s="1237" t="s">
        <v>1027</v>
      </c>
      <c r="H17" s="1236">
        <f>SUM(I17:J17)</f>
        <v>0</v>
      </c>
      <c r="I17" s="1235"/>
      <c r="J17" s="1225"/>
      <c r="K17" s="1234"/>
      <c r="W17" s="1155">
        <v>23</v>
      </c>
    </row>
    <row r="18" ht="35.649999999999999" customHeight="1">
      <c r="F18" s="1230" t="s">
        <v>1028</v>
      </c>
      <c r="G18" s="1237" t="s">
        <v>1029</v>
      </c>
      <c r="H18" s="1236">
        <f>SUM(I18:J18)</f>
        <v>0</v>
      </c>
      <c r="I18" s="1235"/>
      <c r="J18" s="1225"/>
      <c r="K18" s="1234"/>
      <c r="W18" s="1155">
        <v>34</v>
      </c>
    </row>
    <row r="19" ht="35.649999999999999" customHeight="1">
      <c r="F19" s="1230" t="s">
        <v>1030</v>
      </c>
      <c r="G19" s="1237" t="s">
        <v>1031</v>
      </c>
      <c r="H19" s="1236">
        <f>SUM(I19:J19)</f>
        <v>0</v>
      </c>
      <c r="I19" s="1235"/>
      <c r="J19" s="1225"/>
      <c r="K19" s="1234"/>
      <c r="W19" s="1155">
        <v>34</v>
      </c>
    </row>
    <row r="20" ht="48.25" customHeight="1">
      <c r="F20" s="1230" t="s">
        <v>1032</v>
      </c>
      <c r="G20" s="1237" t="s">
        <v>1033</v>
      </c>
      <c r="H20" s="1236">
        <f>SUM(I20:J20)</f>
        <v>0</v>
      </c>
      <c r="I20" s="1235"/>
      <c r="J20" s="1225"/>
      <c r="K20" s="1234"/>
      <c r="W20" s="1155">
        <v>46</v>
      </c>
    </row>
    <row r="21" ht="35.649999999999999" customHeight="1">
      <c r="F21" s="1230" t="s">
        <v>1034</v>
      </c>
      <c r="G21" s="1237" t="s">
        <v>1035</v>
      </c>
      <c r="H21" s="1236">
        <f>SUM(I21:J21)</f>
        <v>0</v>
      </c>
      <c r="I21" s="1235"/>
      <c r="J21" s="1225"/>
      <c r="K21" s="1234"/>
      <c r="W21" s="1155">
        <v>34</v>
      </c>
    </row>
    <row r="22" ht="35.649999999999999" customHeight="1">
      <c r="F22" s="1230" t="s">
        <v>1036</v>
      </c>
      <c r="G22" s="1237" t="s">
        <v>1037</v>
      </c>
      <c r="H22" s="1236">
        <f>SUM(I22:J22)</f>
        <v>0</v>
      </c>
      <c r="I22" s="1235"/>
      <c r="J22" s="1225"/>
      <c r="K22" s="1234"/>
      <c r="W22" s="1155">
        <v>34</v>
      </c>
    </row>
    <row r="23" ht="24" customHeight="1">
      <c r="F23" s="1230" t="s">
        <v>1038</v>
      </c>
      <c r="G23" s="1237" t="s">
        <v>1039</v>
      </c>
      <c r="H23" s="1236">
        <f>SUM(I23:J23)</f>
        <v>0</v>
      </c>
      <c r="I23" s="1235"/>
      <c r="J23" s="1225"/>
      <c r="K23" s="1234"/>
      <c r="W23" s="1155">
        <v>23</v>
      </c>
    </row>
    <row r="24" ht="24" customHeight="1">
      <c r="F24" s="1230" t="s">
        <v>1040</v>
      </c>
      <c r="G24" s="1237" t="s">
        <v>1041</v>
      </c>
      <c r="H24" s="1236">
        <f>SUM(I24:J24)</f>
        <v>0</v>
      </c>
      <c r="I24" s="1235"/>
      <c r="J24" s="1225"/>
      <c r="K24" s="1234"/>
      <c r="W24" s="1155">
        <v>23</v>
      </c>
    </row>
    <row r="25" ht="35.649999999999999" customHeight="1">
      <c r="F25" s="1230" t="s">
        <v>1042</v>
      </c>
      <c r="G25" s="1237" t="s">
        <v>1043</v>
      </c>
      <c r="H25" s="1236">
        <f>SUM(I25:J25)</f>
        <v>0</v>
      </c>
      <c r="I25" s="1235"/>
      <c r="J25" s="1225"/>
      <c r="K25" s="1234"/>
      <c r="W25" s="1155">
        <v>34</v>
      </c>
    </row>
    <row r="26" ht="35.649999999999999" customHeight="1">
      <c r="F26" s="1230" t="s">
        <v>1044</v>
      </c>
      <c r="G26" s="1237" t="s">
        <v>1045</v>
      </c>
      <c r="H26" s="1236">
        <f>SUM(I26:J26)</f>
        <v>0</v>
      </c>
      <c r="I26" s="1235"/>
      <c r="J26" s="1225"/>
      <c r="K26" s="1234"/>
      <c r="W26" s="1155">
        <v>34</v>
      </c>
    </row>
    <row r="27" ht="11.5" customHeight="1">
      <c r="F27" s="1230" t="s">
        <v>1046</v>
      </c>
      <c r="G27" s="1237" t="s">
        <v>1047</v>
      </c>
      <c r="H27" s="1236">
        <f>SUM(I27:J27)</f>
        <v>0</v>
      </c>
      <c r="I27" s="1235"/>
      <c r="J27" s="1225"/>
      <c r="K27" s="1234"/>
      <c r="W27" s="1155">
        <v>11</v>
      </c>
    </row>
    <row r="28" ht="11.5" customHeight="1">
      <c r="F28" s="1230">
        <v>2</v>
      </c>
      <c r="G28" s="690" t="s">
        <v>1048</v>
      </c>
      <c r="H28" s="1236">
        <f>SUM(I28:J28)</f>
        <v>0</v>
      </c>
      <c r="I28" s="1236">
        <f>SUM(I29:I31)</f>
        <v>0</v>
      </c>
      <c r="J28" s="1225"/>
      <c r="K28" s="1234"/>
      <c r="W28" s="1155">
        <v>11</v>
      </c>
    </row>
    <row r="29" ht="11.5" customHeight="1">
      <c r="F29" s="1230" t="s">
        <v>711</v>
      </c>
      <c r="G29" s="1237" t="s">
        <v>1049</v>
      </c>
      <c r="H29" s="1236">
        <f>SUM(I29:J29)</f>
        <v>0</v>
      </c>
      <c r="I29" s="1235"/>
      <c r="J29" s="1225"/>
      <c r="K29" s="1234"/>
      <c r="W29" s="1155">
        <v>11</v>
      </c>
    </row>
    <row r="30" ht="11.5" customHeight="1">
      <c r="F30" s="1230" t="s">
        <v>309</v>
      </c>
      <c r="G30" s="1237" t="s">
        <v>1050</v>
      </c>
      <c r="H30" s="1236">
        <f>SUM(I30:J30)</f>
        <v>0</v>
      </c>
      <c r="I30" s="1235"/>
      <c r="J30" s="1225"/>
      <c r="K30" s="1234"/>
      <c r="W30" s="1155">
        <v>11</v>
      </c>
    </row>
    <row r="31" ht="11.5" customHeight="1">
      <c r="F31" s="1230" t="s">
        <v>312</v>
      </c>
      <c r="G31" s="1237" t="s">
        <v>1051</v>
      </c>
      <c r="H31" s="1236">
        <f>SUM(I31:J31)</f>
        <v>0</v>
      </c>
      <c r="I31" s="1235"/>
      <c r="J31" s="1225"/>
      <c r="K31" s="1234"/>
      <c r="W31" s="1155">
        <v>11</v>
      </c>
    </row>
    <row r="32" ht="11.5" customHeight="1">
      <c r="F32" s="1230">
        <v>3</v>
      </c>
      <c r="G32" s="690" t="s">
        <v>1052</v>
      </c>
      <c r="H32" s="1236">
        <f>SUM(I32:J32)</f>
        <v>0</v>
      </c>
      <c r="I32" s="1236">
        <f>SUM(I33:I34)</f>
        <v>0</v>
      </c>
      <c r="J32" s="1225"/>
      <c r="K32" s="1234"/>
      <c r="W32" s="1155">
        <v>11</v>
      </c>
    </row>
    <row r="33" ht="48.25" customHeight="1">
      <c r="F33" s="1230" t="s">
        <v>326</v>
      </c>
      <c r="G33" s="1237" t="s">
        <v>1053</v>
      </c>
      <c r="H33" s="1236">
        <f>SUM(I33:J33)</f>
        <v>0</v>
      </c>
      <c r="I33" s="1235"/>
      <c r="J33" s="1225"/>
      <c r="K33" s="1234"/>
      <c r="W33" s="1155">
        <v>46</v>
      </c>
    </row>
    <row r="34" ht="11.5" customHeight="1">
      <c r="F34" s="1230" t="s">
        <v>334</v>
      </c>
      <c r="G34" s="1237" t="s">
        <v>1054</v>
      </c>
      <c r="H34" s="1236">
        <f>SUM(I34:J34)</f>
        <v>0</v>
      </c>
      <c r="I34" s="1235"/>
      <c r="J34" s="1225"/>
      <c r="K34" s="1234"/>
      <c r="W34" s="1155">
        <v>11</v>
      </c>
    </row>
    <row r="35" ht="11.5" customHeight="1">
      <c r="F35" s="1230">
        <v>4</v>
      </c>
      <c r="G35" s="690" t="s">
        <v>1055</v>
      </c>
      <c r="H35" s="1236">
        <f>SUM(I35:J35)</f>
        <v>0</v>
      </c>
      <c r="I35" s="1235"/>
      <c r="J35" s="1225"/>
      <c r="K35" s="1234"/>
      <c r="W35" s="1155">
        <v>11</v>
      </c>
    </row>
    <row r="36" ht="11.5" customHeight="1">
      <c r="F36" s="1230"/>
      <c r="G36" s="693" t="s">
        <v>1056</v>
      </c>
      <c r="H36" s="1236">
        <f>SUM(I36:J36)</f>
        <v>0</v>
      </c>
      <c r="I36" s="1236">
        <f>SUM(I15,I28,I32,I35)</f>
        <v>0</v>
      </c>
      <c r="J36" s="1225"/>
      <c r="K36" s="1234"/>
      <c r="W36" s="1155">
        <v>11</v>
      </c>
    </row>
    <row r="37" ht="29.25" customHeight="1">
      <c r="F37" s="1231" t="s">
        <v>1057</v>
      </c>
      <c r="G37" s="2422" t="s">
        <v>1058</v>
      </c>
      <c r="H37" s="2422"/>
      <c r="I37" s="2422"/>
      <c r="J37" s="2422"/>
      <c r="K37" s="1234"/>
      <c r="W37" s="1155">
        <v>28</v>
      </c>
    </row>
    <row r="38" ht="24" customHeight="1">
      <c r="F38" s="1230" t="s">
        <v>109</v>
      </c>
      <c r="G38" s="690" t="s">
        <v>1059</v>
      </c>
      <c r="H38" s="1236">
        <f>SUM(I38:J38)</f>
        <v>0</v>
      </c>
      <c r="I38" s="1236">
        <f>SUM(I39,I44,I47)</f>
        <v>0</v>
      </c>
      <c r="J38" s="1225"/>
      <c r="K38" s="1234"/>
      <c r="W38" s="1155">
        <v>23</v>
      </c>
    </row>
    <row r="39" ht="11.5" customHeight="1">
      <c r="F39" s="1230" t="s">
        <v>1024</v>
      </c>
      <c r="G39" s="1237" t="s">
        <v>1023</v>
      </c>
      <c r="H39" s="1236">
        <f>SUM(I39:J39)</f>
        <v>0</v>
      </c>
      <c r="I39" s="1236">
        <f>SUM(I40:I43)</f>
        <v>0</v>
      </c>
      <c r="J39" s="1225"/>
      <c r="K39" s="1234"/>
      <c r="W39" s="1155">
        <v>11</v>
      </c>
    </row>
    <row r="40" ht="24" customHeight="1">
      <c r="F40" s="1230" t="s">
        <v>1060</v>
      </c>
      <c r="G40" s="1238" t="s">
        <v>1061</v>
      </c>
      <c r="H40" s="1236">
        <f>SUM(I40:J40)</f>
        <v>0</v>
      </c>
      <c r="I40" s="1235"/>
      <c r="J40" s="1225"/>
      <c r="K40" s="1234"/>
      <c r="W40" s="1155">
        <v>23</v>
      </c>
    </row>
    <row r="41" ht="11.5" customHeight="1">
      <c r="F41" s="1230" t="s">
        <v>1062</v>
      </c>
      <c r="G41" s="1238" t="s">
        <v>1063</v>
      </c>
      <c r="H41" s="1236">
        <f>SUM(I41:J41)</f>
        <v>0</v>
      </c>
      <c r="I41" s="1235"/>
      <c r="J41" s="1225"/>
      <c r="K41" s="1234"/>
      <c r="W41" s="1155">
        <v>11</v>
      </c>
    </row>
    <row r="42" ht="11.5" customHeight="1">
      <c r="F42" s="1230" t="s">
        <v>1064</v>
      </c>
      <c r="G42" s="1238" t="s">
        <v>1065</v>
      </c>
      <c r="H42" s="1236">
        <f>SUM(I42:J42)</f>
        <v>0</v>
      </c>
      <c r="I42" s="1235"/>
      <c r="J42" s="1225"/>
      <c r="K42" s="1234"/>
      <c r="W42" s="1155">
        <v>11</v>
      </c>
    </row>
    <row r="43" ht="35.649999999999999" customHeight="1">
      <c r="F43" s="1230" t="s">
        <v>1066</v>
      </c>
      <c r="G43" s="1238" t="s">
        <v>1067</v>
      </c>
      <c r="H43" s="1236">
        <f>SUM(I43:J43)</f>
        <v>0</v>
      </c>
      <c r="I43" s="1235"/>
      <c r="J43" s="1225"/>
      <c r="K43" s="1234"/>
      <c r="W43" s="1155">
        <v>34</v>
      </c>
    </row>
    <row r="44" ht="11.5" customHeight="1">
      <c r="F44" s="1230" t="s">
        <v>1026</v>
      </c>
      <c r="G44" s="1237" t="s">
        <v>1052</v>
      </c>
      <c r="H44" s="1236">
        <f>SUM(I44:J44)</f>
        <v>0</v>
      </c>
      <c r="I44" s="1236">
        <f>SUM(I45:I46)</f>
        <v>0</v>
      </c>
      <c r="J44" s="1225"/>
      <c r="K44" s="1234"/>
      <c r="W44" s="1155">
        <v>11</v>
      </c>
    </row>
    <row r="45" ht="48.25" customHeight="1">
      <c r="F45" s="1230" t="s">
        <v>1068</v>
      </c>
      <c r="G45" s="1238" t="s">
        <v>1053</v>
      </c>
      <c r="H45" s="1236">
        <f>SUM(I45:J45)</f>
        <v>0</v>
      </c>
      <c r="I45" s="1235"/>
      <c r="J45" s="1225"/>
      <c r="K45" s="1234"/>
      <c r="W45" s="1155">
        <v>46</v>
      </c>
    </row>
    <row r="46" ht="11.5" customHeight="1">
      <c r="F46" s="1230" t="s">
        <v>1069</v>
      </c>
      <c r="G46" s="1238" t="s">
        <v>1054</v>
      </c>
      <c r="H46" s="1236">
        <f>SUM(I46:J46)</f>
        <v>0</v>
      </c>
      <c r="I46" s="1235"/>
      <c r="J46" s="1225"/>
      <c r="K46" s="1234"/>
      <c r="W46" s="1155">
        <v>11</v>
      </c>
    </row>
    <row r="47" ht="11.5" customHeight="1">
      <c r="F47" s="1230" t="s">
        <v>1028</v>
      </c>
      <c r="G47" s="1237" t="s">
        <v>1070</v>
      </c>
      <c r="H47" s="1236">
        <f>SUM(I47:J47)</f>
        <v>0</v>
      </c>
      <c r="I47" s="1235"/>
      <c r="J47" s="1225"/>
      <c r="K47" s="1234"/>
      <c r="W47" s="1155">
        <v>11</v>
      </c>
    </row>
    <row r="48" ht="24" customHeight="1">
      <c r="F48" s="1230" t="s">
        <v>110</v>
      </c>
      <c r="G48" s="690" t="s">
        <v>1071</v>
      </c>
      <c r="H48" s="1236">
        <f>SUM(I48:J48)</f>
        <v>0</v>
      </c>
      <c r="I48" s="1236">
        <f>SUM(I49,I54,I57)</f>
        <v>0</v>
      </c>
      <c r="J48" s="1225"/>
      <c r="K48" s="1234"/>
      <c r="W48" s="1155">
        <v>23</v>
      </c>
    </row>
    <row r="49" ht="11.5" customHeight="1">
      <c r="F49" s="1230" t="s">
        <v>711</v>
      </c>
      <c r="G49" s="1237" t="s">
        <v>1023</v>
      </c>
      <c r="H49" s="1236">
        <f>SUM(I49:J49)</f>
        <v>0</v>
      </c>
      <c r="I49" s="1236">
        <f>SUM(I50:I53)</f>
        <v>0</v>
      </c>
      <c r="J49" s="1225"/>
      <c r="K49" s="1234"/>
      <c r="W49" s="1155">
        <v>11</v>
      </c>
    </row>
    <row r="50" ht="24" customHeight="1">
      <c r="F50" s="1230" t="s">
        <v>714</v>
      </c>
      <c r="G50" s="1238" t="s">
        <v>1061</v>
      </c>
      <c r="H50" s="1236">
        <f>SUM(I50:J50)</f>
        <v>0</v>
      </c>
      <c r="I50" s="1235"/>
      <c r="J50" s="1225"/>
      <c r="K50" s="1234"/>
      <c r="W50" s="1155">
        <v>23</v>
      </c>
    </row>
    <row r="51" ht="11.5" customHeight="1">
      <c r="F51" s="1230" t="s">
        <v>717</v>
      </c>
      <c r="G51" s="1238" t="s">
        <v>1063</v>
      </c>
      <c r="H51" s="1236">
        <f>SUM(I51:J51)</f>
        <v>0</v>
      </c>
      <c r="I51" s="1235"/>
      <c r="J51" s="1225"/>
      <c r="K51" s="1234"/>
      <c r="W51" s="1155">
        <v>11</v>
      </c>
    </row>
    <row r="52" ht="11.5" customHeight="1">
      <c r="F52" s="1230" t="s">
        <v>1072</v>
      </c>
      <c r="G52" s="1238" t="s">
        <v>1065</v>
      </c>
      <c r="H52" s="1236">
        <f>SUM(I52:J52)</f>
        <v>0</v>
      </c>
      <c r="I52" s="1235"/>
      <c r="J52" s="1225"/>
      <c r="K52" s="1234"/>
      <c r="W52" s="1155">
        <v>11</v>
      </c>
    </row>
    <row r="53" ht="35.649999999999999" customHeight="1">
      <c r="F53" s="1230" t="s">
        <v>1073</v>
      </c>
      <c r="G53" s="1238" t="s">
        <v>1067</v>
      </c>
      <c r="H53" s="1236">
        <f>SUM(I53:J53)</f>
        <v>0</v>
      </c>
      <c r="I53" s="1235"/>
      <c r="J53" s="1225"/>
      <c r="K53" s="1234"/>
      <c r="W53" s="1155">
        <v>34</v>
      </c>
    </row>
    <row r="54" ht="11.5" customHeight="1">
      <c r="F54" s="1230" t="s">
        <v>309</v>
      </c>
      <c r="G54" s="1237" t="s">
        <v>1052</v>
      </c>
      <c r="H54" s="1236">
        <f>SUM(I54:J54)</f>
        <v>0</v>
      </c>
      <c r="I54" s="1236">
        <f>SUM(I55:I56)</f>
        <v>0</v>
      </c>
      <c r="J54" s="1225"/>
      <c r="K54" s="1234"/>
      <c r="W54" s="1155">
        <v>11</v>
      </c>
    </row>
    <row r="55" ht="48.25" customHeight="1">
      <c r="F55" s="1230" t="s">
        <v>721</v>
      </c>
      <c r="G55" s="1238" t="s">
        <v>1053</v>
      </c>
      <c r="H55" s="1236">
        <f>SUM(I55:J55)</f>
        <v>0</v>
      </c>
      <c r="I55" s="1235"/>
      <c r="J55" s="1225"/>
      <c r="K55" s="1234"/>
      <c r="W55" s="1155">
        <v>46</v>
      </c>
    </row>
    <row r="56" ht="11.5" customHeight="1">
      <c r="F56" s="1230" t="s">
        <v>723</v>
      </c>
      <c r="G56" s="1238" t="s">
        <v>1054</v>
      </c>
      <c r="H56" s="1236">
        <f>SUM(I56:J56)</f>
        <v>0</v>
      </c>
      <c r="I56" s="1235"/>
      <c r="J56" s="1225"/>
      <c r="K56" s="1234"/>
      <c r="W56" s="1155">
        <v>11</v>
      </c>
    </row>
    <row r="57" ht="11.5" customHeight="1">
      <c r="F57" s="1230" t="s">
        <v>312</v>
      </c>
      <c r="G57" s="1237" t="s">
        <v>1070</v>
      </c>
      <c r="H57" s="1236">
        <f>SUM(I57:J57)</f>
        <v>0</v>
      </c>
      <c r="I57" s="1235"/>
      <c r="J57" s="1225"/>
      <c r="K57" s="1234"/>
      <c r="W57" s="1155">
        <v>11</v>
      </c>
    </row>
    <row r="58" ht="11.5" customHeight="1">
      <c r="F58" s="1230"/>
      <c r="G58" s="1239" t="s">
        <v>1056</v>
      </c>
      <c r="H58" s="1236">
        <f>SUM(I58:J58)</f>
        <v>0</v>
      </c>
      <c r="I58" s="1236">
        <f>SUM(I38,I48)</f>
        <v>0</v>
      </c>
      <c r="J58" s="1225"/>
      <c r="K58" s="1234"/>
      <c r="W58" s="1155">
        <v>11</v>
      </c>
    </row>
    <row r="59" ht="10.5" hidden="1" customHeight="1">
      <c r="A59" s="1166" t="s">
        <v>81</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autoFilter="0" deleteColumns="0" deleteRows="0" formatColumns="0" formatRows="0" insertColumns="1" insertRows="0" sort="0"/>
  <mergeCells count="9">
    <mergeCell ref="F5:J5"/>
    <mergeCell ref="F6:J6"/>
    <mergeCell ref="F9:J9"/>
    <mergeCell ref="G14:J14"/>
    <mergeCell ref="G37:J37"/>
    <mergeCell ref="F10:F12"/>
    <mergeCell ref="H10:J10"/>
    <mergeCell ref="H11:J11"/>
    <mergeCell ref="G10:G12"/>
  </mergeCells>
  <pageMargins left="0.69999999999999996" right="0.69999999999999996" top="0.75" bottom="0.75" header="0.29999999999999999" footer="0.29999999999999999"/>
  <pageSetup paperSize="9"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1">
        <x14:dataValidation xr:uid="{008D0003-0011-4667-B8E4-005500040011}" type="decimal" allowBlank="1" error="Допускается ввод только неотрицательных чисел!" errorTitle="Ошибка" showErrorMessage="1">
          <x14:formula1>
            <xm:f>0</xm:f>
          </x14:formula1>
          <x14:formula2>
            <xm:f>9.99999999999999E+23</xm:f>
          </x14:formula2>
          <xm:sqref>I29:I31 I33:I35 I40:I43 I45:I47 I50:I53 I55:I57 I16:I27</xm:sqref>
        </x14:dataValidation>
      </x14:dataValidations>
    </ext>
  </extLst>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9" tint="-0.25"/>
  </sheetPr>
  <sheetViews>
    <sheetView showGridLines="0" topLeftCell="A1" zoomScale="90" workbookViewId="0">
      <selection activeCell="A1" sqref="A1"/>
    </sheetView>
  </sheetViews>
  <sheetFormatPr defaultColWidth="9.140625" defaultRowHeight="12" customHeight="1"/>
  <cols>
    <col customWidth="1" hidden="1" min="1" max="1" style="1063" width="4.7109375"/>
    <col customWidth="1" hidden="1" min="2" max="2" style="936" width="4.7109375"/>
    <col customWidth="1" hidden="1" min="3" max="4" style="1063" width="4.7109375"/>
    <col customWidth="1" min="5" max="5" style="1063" width="3.00390625"/>
    <col customWidth="1" min="6" max="6" style="1063" width="6.00390625"/>
    <col customWidth="1" min="7" max="7" style="1063" width="18.00390625"/>
    <col customWidth="1" min="8" max="8" style="1063" width="27.00390625"/>
    <col customWidth="1" min="9" max="9" style="1063" width="18.00390625"/>
    <col customWidth="1" hidden="1" min="10" max="14" style="1063" width="0.8515625"/>
    <col customWidth="1" hidden="1" min="15" max="28" style="1063" width="21.7109375"/>
    <col customWidth="1" hidden="1" min="29" max="71" style="1063" width="0.8515625"/>
    <col customWidth="1" hidden="1" min="72" max="79" style="1063" width="21.7109375"/>
    <col customWidth="1" hidden="1" min="80" max="81" style="1063" width="29.140625"/>
    <col customWidth="1" hidden="1" min="82" max="89" style="1063" width="21.7109375"/>
    <col customWidth="1" hidden="1" min="90" max="102" style="1063" width="0.7109375"/>
    <col customWidth="1" min="103" max="114" style="1063" width="21.7109375"/>
    <col customWidth="1" min="115" max="128" style="1063" width="0.7109375"/>
    <col customWidth="1" hidden="1" min="129" max="178" style="1063" width="0.7109375"/>
    <col customWidth="1" min="179" max="179" style="1063" width="0.140625"/>
    <col customWidth="1" min="180" max="184" style="1063" width="8.00390625"/>
    <col hidden="1" min="185" max="185" style="1063" width="9.140625"/>
  </cols>
  <sheetData>
    <row r="1" s="925" customFormat="1" ht="12" hidden="1" customHeight="1">
      <c r="B1" s="923"/>
      <c r="C1" s="924"/>
      <c r="D1" s="924"/>
      <c r="GC1" s="922" t="s">
        <v>14</v>
      </c>
    </row>
    <row r="2" s="925" customFormat="1" ht="12" hidden="1" customHeight="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r="3" s="925" customFormat="1" ht="12" hidden="1" customHeight="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r="4" ht="10.5" customHeight="1">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r="5" s="1873" customFormat="1" ht="27.300000000000001" customHeight="1">
      <c r="B5" s="1872"/>
      <c r="E5" s="1874"/>
      <c r="F5" s="2432" t="str">
        <f>IP_NAME_FORM&amp;"
Показатели качества, надежности и энергетической эффективности в сфере "&amp;TEMPLATE_SPHERE_RUS</f>
        <v xml:space="preserve">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r="6" s="2138" customFormat="1" ht="18.75" customHeight="1">
      <c r="B6" s="943"/>
      <c r="E6" s="945"/>
      <c r="F6" s="2214" t="str">
        <f>IF(org=0,"Не определено",org)</f>
        <v xml:space="preserve">филиал ПАО "ОГК-2" - Рязанская ГРЭС</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r="7" s="933" customFormat="1" ht="10.5" customHeight="1">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r="8" s="933" customFormat="1" ht="11.25" hidden="1" customHeight="1">
      <c r="B8" s="934"/>
      <c r="F8" s="1056"/>
      <c r="G8" s="763"/>
      <c r="H8" s="360"/>
      <c r="I8" s="360"/>
      <c r="J8" s="360"/>
      <c r="K8" s="360"/>
      <c r="L8" s="360"/>
      <c r="M8" s="1056"/>
      <c r="N8" s="1056"/>
      <c r="O8" s="2450" t="s">
        <v>1074</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1075</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r="9" s="933" customFormat="1" ht="11.25" hidden="1" customHeight="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r="10" s="933" customFormat="1" ht="11.5" customHeight="1">
      <c r="B10" s="934"/>
      <c r="F10" s="2429" t="s">
        <v>302</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r="11" ht="12.75" customHeight="1">
      <c r="E11" s="937"/>
      <c r="F11" s="2205" t="s">
        <v>87</v>
      </c>
      <c r="G11" s="2205" t="s">
        <v>1076</v>
      </c>
      <c r="H11" s="2437" t="s">
        <v>1077</v>
      </c>
      <c r="I11" s="2437" t="s">
        <v>1078</v>
      </c>
      <c r="J11" s="2438"/>
      <c r="K11" s="2438"/>
      <c r="L11" s="2438"/>
      <c r="M11" s="2438"/>
      <c r="N11" s="2438"/>
      <c r="O11" s="2209" t="s">
        <v>1079</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1079</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1079</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r="12" ht="12.75" customHeight="1">
      <c r="D12" s="938"/>
      <c r="E12" s="937"/>
      <c r="F12" s="2205"/>
      <c r="G12" s="2205"/>
      <c r="H12" s="2437"/>
      <c r="I12" s="2437"/>
      <c r="J12" s="2438"/>
      <c r="K12" s="2438"/>
      <c r="L12" s="2438"/>
      <c r="M12" s="2438"/>
      <c r="N12" s="2438"/>
      <c r="O12" s="2209" t="s">
        <v>1080</v>
      </c>
      <c r="P12" s="2209"/>
      <c r="Q12" s="2209"/>
      <c r="R12" s="2209"/>
      <c r="S12" s="2209" t="s">
        <v>1081</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1082</v>
      </c>
      <c r="BU12" s="2387"/>
      <c r="BV12" s="2387"/>
      <c r="BW12" s="2433"/>
      <c r="BX12" s="2386" t="s">
        <v>1083</v>
      </c>
      <c r="BY12" s="2387"/>
      <c r="BZ12" s="2387"/>
      <c r="CA12" s="2433"/>
      <c r="CB12" s="2386" t="s">
        <v>1084</v>
      </c>
      <c r="CC12" s="2433"/>
      <c r="CD12" s="2386" t="s">
        <v>1085</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1086</v>
      </c>
      <c r="CZ12" s="2387"/>
      <c r="DA12" s="2387"/>
      <c r="DB12" s="2387"/>
      <c r="DC12" s="2387"/>
      <c r="DD12" s="2433"/>
      <c r="DE12" s="2386" t="s">
        <v>1087</v>
      </c>
      <c r="DF12" s="2433"/>
      <c r="DG12" s="2386" t="s">
        <v>1085</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r="13" ht="37.799999999999997" customHeight="1">
      <c r="D13" s="938"/>
      <c r="E13" s="937"/>
      <c r="F13" s="2205"/>
      <c r="G13" s="2205"/>
      <c r="H13" s="2437"/>
      <c r="I13" s="2437"/>
      <c r="J13" s="2438"/>
      <c r="K13" s="2438"/>
      <c r="L13" s="2438"/>
      <c r="M13" s="2438"/>
      <c r="N13" s="2438"/>
      <c r="O13" s="2209" t="s">
        <v>1088</v>
      </c>
      <c r="P13" s="2209"/>
      <c r="Q13" s="2209"/>
      <c r="R13" s="2209"/>
      <c r="S13" s="2336" t="s">
        <v>1089</v>
      </c>
      <c r="T13" s="2388"/>
      <c r="U13" s="2127" t="s">
        <v>1090</v>
      </c>
      <c r="V13" s="2127"/>
      <c r="W13" s="2127"/>
      <c r="X13" s="2127"/>
      <c r="Y13" s="2127" t="s">
        <v>1091</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1092</v>
      </c>
      <c r="BU13" s="2388"/>
      <c r="BV13" s="2336" t="s">
        <v>1093</v>
      </c>
      <c r="BW13" s="2388"/>
      <c r="BX13" s="2336" t="s">
        <v>1094</v>
      </c>
      <c r="BY13" s="2388"/>
      <c r="BZ13" s="2336" t="s">
        <v>1095</v>
      </c>
      <c r="CA13" s="2388"/>
      <c r="CB13" s="2336" t="s">
        <v>1096</v>
      </c>
      <c r="CC13" s="2388"/>
      <c r="CD13" s="2336" t="s">
        <v>1097</v>
      </c>
      <c r="CE13" s="2388"/>
      <c r="CF13" s="2336" t="s">
        <v>1098</v>
      </c>
      <c r="CG13" s="2388"/>
      <c r="CH13" s="2386" t="s">
        <v>1099</v>
      </c>
      <c r="CI13" s="2387"/>
      <c r="CJ13" s="2387"/>
      <c r="CK13" s="2433"/>
      <c r="CL13" s="2436"/>
      <c r="CM13" s="2434"/>
      <c r="CN13" s="2434"/>
      <c r="CO13" s="2434"/>
      <c r="CP13" s="2434"/>
      <c r="CQ13" s="2434"/>
      <c r="CR13" s="2434"/>
      <c r="CS13" s="2434"/>
      <c r="CT13" s="2434"/>
      <c r="CU13" s="2434"/>
      <c r="CV13" s="2434"/>
      <c r="CW13" s="2434"/>
      <c r="CX13" s="2453"/>
      <c r="CY13" s="2336" t="s">
        <v>1100</v>
      </c>
      <c r="CZ13" s="2388"/>
      <c r="DA13" s="2336" t="s">
        <v>1101</v>
      </c>
      <c r="DB13" s="2388"/>
      <c r="DC13" s="2336" t="s">
        <v>1102</v>
      </c>
      <c r="DD13" s="2388"/>
      <c r="DE13" s="2336" t="s">
        <v>1103</v>
      </c>
      <c r="DF13" s="2388"/>
      <c r="DG13" s="2386" t="s">
        <v>1104</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r="14" ht="37.799999999999997" customHeight="1">
      <c r="D14" s="938"/>
      <c r="E14" s="937"/>
      <c r="F14" s="2205"/>
      <c r="G14" s="2205"/>
      <c r="H14" s="2437"/>
      <c r="I14" s="2437"/>
      <c r="J14" s="2438"/>
      <c r="K14" s="2438"/>
      <c r="L14" s="2438"/>
      <c r="M14" s="2438"/>
      <c r="N14" s="2438"/>
      <c r="O14" s="2336" t="s">
        <v>1105</v>
      </c>
      <c r="P14" s="2388"/>
      <c r="Q14" s="2336" t="s">
        <v>1106</v>
      </c>
      <c r="R14" s="2388"/>
      <c r="S14" s="2337"/>
      <c r="T14" s="2213"/>
      <c r="U14" s="2336" t="s">
        <v>838</v>
      </c>
      <c r="V14" s="2388"/>
      <c r="W14" s="2336" t="s">
        <v>841</v>
      </c>
      <c r="X14" s="2388"/>
      <c r="Y14" s="2336" t="s">
        <v>838</v>
      </c>
      <c r="Z14" s="2388"/>
      <c r="AA14" s="2336" t="s">
        <v>848</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1107</v>
      </c>
      <c r="CI14" s="2388"/>
      <c r="CJ14" s="2336" t="s">
        <v>1108</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1109</v>
      </c>
      <c r="DH14" s="2388"/>
      <c r="DI14" s="2336" t="s">
        <v>1110</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r="15" ht="37.799999999999997" customHeight="1">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r="16" ht="12.75" customHeight="1">
      <c r="D16" s="938"/>
      <c r="E16" s="937"/>
      <c r="F16" s="2205"/>
      <c r="G16" s="2205"/>
      <c r="H16" s="2437"/>
      <c r="I16" s="2437"/>
      <c r="J16" s="2438"/>
      <c r="K16" s="2438"/>
      <c r="L16" s="2438"/>
      <c r="M16" s="2438"/>
      <c r="N16" s="2438"/>
      <c r="O16" s="2386" t="s">
        <v>828</v>
      </c>
      <c r="P16" s="2433"/>
      <c r="Q16" s="2386" t="s">
        <v>830</v>
      </c>
      <c r="R16" s="2433"/>
      <c r="S16" s="2386" t="s">
        <v>834</v>
      </c>
      <c r="T16" s="2433"/>
      <c r="U16" s="2386" t="s">
        <v>839</v>
      </c>
      <c r="V16" s="2433"/>
      <c r="W16" s="2386" t="s">
        <v>842</v>
      </c>
      <c r="X16" s="2433"/>
      <c r="Y16" s="2386" t="s">
        <v>846</v>
      </c>
      <c r="Z16" s="2433"/>
      <c r="AA16" s="2386" t="s">
        <v>849</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560</v>
      </c>
      <c r="BU16" s="2433"/>
      <c r="BV16" s="2386" t="s">
        <v>560</v>
      </c>
      <c r="BW16" s="2433"/>
      <c r="BX16" s="2386" t="s">
        <v>560</v>
      </c>
      <c r="BY16" s="2433"/>
      <c r="BZ16" s="2386" t="s">
        <v>560</v>
      </c>
      <c r="CA16" s="2433"/>
      <c r="CB16" s="2386" t="s">
        <v>1111</v>
      </c>
      <c r="CC16" s="2433"/>
      <c r="CD16" s="2386" t="s">
        <v>560</v>
      </c>
      <c r="CE16" s="2433"/>
      <c r="CF16" s="2386" t="s">
        <v>1112</v>
      </c>
      <c r="CG16" s="2433"/>
      <c r="CH16" s="2386" t="s">
        <v>1113</v>
      </c>
      <c r="CI16" s="2433"/>
      <c r="CJ16" s="2386" t="s">
        <v>1113</v>
      </c>
      <c r="CK16" s="2433"/>
      <c r="CL16" s="2436"/>
      <c r="CM16" s="2434"/>
      <c r="CN16" s="2434"/>
      <c r="CO16" s="2434"/>
      <c r="CP16" s="2434"/>
      <c r="CQ16" s="2434"/>
      <c r="CR16" s="2434"/>
      <c r="CS16" s="2434"/>
      <c r="CT16" s="2434"/>
      <c r="CU16" s="2434"/>
      <c r="CV16" s="2434"/>
      <c r="CW16" s="2434"/>
      <c r="CX16" s="2453"/>
      <c r="CY16" s="2336" t="s">
        <v>560</v>
      </c>
      <c r="CZ16" s="2388"/>
      <c r="DA16" s="2336" t="s">
        <v>560</v>
      </c>
      <c r="DB16" s="2388"/>
      <c r="DC16" s="2336" t="s">
        <v>560</v>
      </c>
      <c r="DD16" s="2388"/>
      <c r="DE16" s="2386" t="s">
        <v>1111</v>
      </c>
      <c r="DF16" s="2433"/>
      <c r="DG16" s="2386" t="s">
        <v>1114</v>
      </c>
      <c r="DH16" s="2433"/>
      <c r="DI16" s="2386" t="s">
        <v>1114</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r="17" ht="15.75" customHeight="1">
      <c r="E17" s="937"/>
      <c r="F17" s="2205"/>
      <c r="G17" s="2205"/>
      <c r="H17" s="2437"/>
      <c r="I17" s="2437"/>
      <c r="J17" s="2438"/>
      <c r="K17" s="2438"/>
      <c r="L17" s="2438"/>
      <c r="M17" s="2438"/>
      <c r="N17" s="2438"/>
      <c r="O17" s="1191" t="s">
        <v>1115</v>
      </c>
      <c r="P17" s="1191" t="s">
        <v>1116</v>
      </c>
      <c r="Q17" s="1191" t="s">
        <v>1115</v>
      </c>
      <c r="R17" s="1191" t="s">
        <v>1116</v>
      </c>
      <c r="S17" s="1191" t="s">
        <v>1115</v>
      </c>
      <c r="T17" s="1191" t="s">
        <v>1116</v>
      </c>
      <c r="U17" s="1191" t="s">
        <v>1115</v>
      </c>
      <c r="V17" s="1191" t="s">
        <v>1116</v>
      </c>
      <c r="W17" s="1191" t="s">
        <v>1115</v>
      </c>
      <c r="X17" s="1191" t="s">
        <v>1116</v>
      </c>
      <c r="Y17" s="1191" t="s">
        <v>1115</v>
      </c>
      <c r="Z17" s="1191" t="s">
        <v>1116</v>
      </c>
      <c r="AA17" s="1191" t="s">
        <v>1115</v>
      </c>
      <c r="AB17" s="1191" t="s">
        <v>1116</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1115</v>
      </c>
      <c r="BU17" s="1191" t="s">
        <v>1116</v>
      </c>
      <c r="BV17" s="1191" t="s">
        <v>1115</v>
      </c>
      <c r="BW17" s="1191" t="s">
        <v>1116</v>
      </c>
      <c r="BX17" s="1191" t="s">
        <v>1115</v>
      </c>
      <c r="BY17" s="1191" t="s">
        <v>1116</v>
      </c>
      <c r="BZ17" s="1191" t="s">
        <v>1115</v>
      </c>
      <c r="CA17" s="1191" t="s">
        <v>1116</v>
      </c>
      <c r="CB17" s="1191" t="s">
        <v>1115</v>
      </c>
      <c r="CC17" s="1191" t="s">
        <v>1116</v>
      </c>
      <c r="CD17" s="1191" t="s">
        <v>1115</v>
      </c>
      <c r="CE17" s="1191" t="s">
        <v>1116</v>
      </c>
      <c r="CF17" s="1191" t="s">
        <v>1115</v>
      </c>
      <c r="CG17" s="1191" t="s">
        <v>1116</v>
      </c>
      <c r="CH17" s="1191" t="s">
        <v>1115</v>
      </c>
      <c r="CI17" s="1191" t="s">
        <v>1116</v>
      </c>
      <c r="CJ17" s="1191" t="s">
        <v>1115</v>
      </c>
      <c r="CK17" s="1191" t="s">
        <v>1116</v>
      </c>
      <c r="CL17" s="2436"/>
      <c r="CM17" s="2434"/>
      <c r="CN17" s="2434"/>
      <c r="CO17" s="2434"/>
      <c r="CP17" s="2434"/>
      <c r="CQ17" s="2434"/>
      <c r="CR17" s="2434"/>
      <c r="CS17" s="2434"/>
      <c r="CT17" s="2434"/>
      <c r="CU17" s="2434"/>
      <c r="CV17" s="2434"/>
      <c r="CW17" s="2434"/>
      <c r="CX17" s="2453"/>
      <c r="CY17" s="1191" t="s">
        <v>1115</v>
      </c>
      <c r="CZ17" s="1191" t="s">
        <v>1116</v>
      </c>
      <c r="DA17" s="1191" t="s">
        <v>1115</v>
      </c>
      <c r="DB17" s="1191" t="s">
        <v>1116</v>
      </c>
      <c r="DC17" s="1191" t="s">
        <v>1115</v>
      </c>
      <c r="DD17" s="1191" t="s">
        <v>1116</v>
      </c>
      <c r="DE17" s="1191" t="s">
        <v>1115</v>
      </c>
      <c r="DF17" s="1191" t="s">
        <v>1116</v>
      </c>
      <c r="DG17" s="1191" t="s">
        <v>1115</v>
      </c>
      <c r="DH17" s="1191" t="s">
        <v>1116</v>
      </c>
      <c r="DI17" s="1191" t="s">
        <v>1115</v>
      </c>
      <c r="DJ17" s="1191" t="s">
        <v>1116</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r="18" s="925" customFormat="1" ht="12" hidden="1" customHeight="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r="19" s="925" customFormat="1" ht="11.25" hidden="1" customHeight="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r="20" s="925" customFormat="1" ht="11.25" hidden="1" customHeight="1">
      <c r="B20" s="940"/>
      <c r="D20" s="924"/>
      <c r="E20" s="939"/>
      <c r="F20" s="1197" t="s">
        <v>378</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r="21" s="925" customFormat="1" ht="12.75" customHeight="1">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r="22" s="925" customFormat="1" ht="12.75" customHeight="1">
      <c r="A22" s="941"/>
      <c r="B22" s="941"/>
      <c r="C22" s="941"/>
      <c r="D22" s="941"/>
      <c r="E22" s="941"/>
      <c r="FX22" s="941"/>
      <c r="FY22" s="941"/>
      <c r="FZ22" s="941"/>
      <c r="GA22" s="941"/>
      <c r="GB22" s="941"/>
      <c r="GC22" s="922">
        <v>12</v>
      </c>
    </row>
    <row r="23" s="1063" customFormat="1" ht="12.75" customHeight="1">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r="24" ht="12.75" customHeight="1">
      <c r="S24" s="938"/>
      <c r="T24" s="938"/>
      <c r="U24" s="938"/>
      <c r="V24" s="938"/>
      <c r="W24" s="938"/>
      <c r="X24" s="938"/>
      <c r="Y24" s="938"/>
      <c r="Z24" s="938"/>
      <c r="AA24" s="938"/>
      <c r="AB24" s="938"/>
      <c r="FX24" s="938"/>
      <c r="FY24" s="938"/>
      <c r="FZ24" s="938"/>
      <c r="GA24" s="938"/>
      <c r="GB24" s="938"/>
      <c r="GC24" s="926">
        <v>12</v>
      </c>
    </row>
    <row r="25" ht="12" hidden="1" customHeight="1">
      <c r="A25" s="926" t="s">
        <v>81</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autoFilter="0" deleteColumns="0" deleteRows="0" formatColumns="0" formatRows="0" insertColumns="1" insertRows="0" sort="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sqref="AA14:AB16 U16:Z16" allowBlank="1" showErrorMessage="1" showInputMessage="1"/>
  </dataValidations>
  <pageMargins left="0.69999999999999996" right="0.69999999999999996" top="0.75" bottom="0.75" header="0.29999999999999999" footer="0.29999999999999999"/>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2" tint="-0.10000000000000001"/>
  </sheetPr>
  <sheetViews>
    <sheetView showGridLines="0" topLeftCell="A1" zoomScale="90" workbookViewId="0">
      <selection activeCell="H21" sqref="H21"/>
    </sheetView>
  </sheetViews>
  <sheetFormatPr defaultColWidth="10.57421875" defaultRowHeight="15" customHeight="1"/>
  <cols>
    <col customWidth="1" hidden="1" min="1" max="1" style="1632" width="9.140625"/>
    <col customWidth="1" hidden="1" min="2" max="2" style="1635" width="9.140625"/>
    <col customWidth="1" min="3" max="3" style="683" width="4.00390625"/>
    <col customWidth="1" min="4" max="4" style="1635" width="6.00390625"/>
    <col customWidth="1" min="5" max="5" style="1635" width="36.00390625"/>
    <col customWidth="1" min="6" max="6" style="1635" width="9.00390625"/>
    <col customWidth="1" hidden="1" min="7" max="7" style="1635" width="42.421875"/>
    <col customWidth="1" min="8" max="8" style="1635" width="40.7109375"/>
    <col customWidth="1" min="9" max="9" style="1635" width="42.421875"/>
    <col customWidth="1" min="10" max="10" style="1366" width="93.00390625"/>
    <col customWidth="1" min="11" max="18" style="1635" width="10.00390625"/>
    <col customWidth="1" min="19" max="19" style="675" width="10.00390625"/>
    <col hidden="1" min="20" max="20" style="1635" width="10.57421875"/>
  </cols>
  <sheetData>
    <row r="1" s="1366" customFormat="1" ht="15" hidden="1" customHeight="1">
      <c r="C1" s="672"/>
      <c r="H1" s="417">
        <v>4</v>
      </c>
      <c r="I1" s="1366"/>
      <c r="S1" s="420"/>
      <c r="T1" s="417" t="s">
        <v>14</v>
      </c>
    </row>
    <row r="2" ht="22.5" hidden="1" customHeight="1">
      <c r="C2" s="1928" t="s">
        <v>122</v>
      </c>
      <c r="D2" s="539"/>
      <c r="E2" s="663"/>
      <c r="F2" s="1761" t="str">
        <f>IF(TEMPLATE_SPHERE="HEAT","Гкал/час","тыс. куб. м/сутки")</f>
        <v xml:space="preserve">тыс. куб. м/сутки</v>
      </c>
      <c r="G2" s="680"/>
      <c r="H2" s="680"/>
      <c r="I2" s="680"/>
      <c r="J2" s="289"/>
      <c r="T2" s="505">
        <v>0</v>
      </c>
    </row>
    <row r="3" s="1366" customFormat="1" ht="15" hidden="1" customHeight="1">
      <c r="C3" s="672"/>
      <c r="I3" s="1366"/>
      <c r="S3" s="420"/>
      <c r="T3" s="417">
        <v>0</v>
      </c>
    </row>
    <row r="4" ht="15.75" customHeight="1">
      <c r="C4" s="176"/>
      <c r="D4" s="509"/>
      <c r="E4" s="509"/>
      <c r="F4" s="509"/>
      <c r="G4" s="509"/>
      <c r="H4" s="509"/>
      <c r="I4" s="1635"/>
      <c r="T4" s="505">
        <v>15</v>
      </c>
    </row>
    <row r="5" ht="39.75" customHeight="1">
      <c r="C5" s="176"/>
      <c r="D5" s="2237" t="str">
        <f>TP_NAME_FORM</f>
        <v xml:space="preserve">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E5" s="2237"/>
      <c r="F5" s="2237"/>
      <c r="G5" s="2237"/>
      <c r="H5" s="2237"/>
      <c r="I5" s="2248"/>
      <c r="J5" s="537"/>
      <c r="T5" s="505">
        <v>38</v>
      </c>
    </row>
    <row r="6" ht="15.75" customHeight="1">
      <c r="C6" s="176"/>
      <c r="D6" s="2176" t="str">
        <f>IF(org=0,"Не определено",org)</f>
        <v xml:space="preserve">филиал ПАО "ОГК-2" - Рязанская ГРЭС</v>
      </c>
      <c r="E6" s="2176"/>
      <c r="F6" s="2176"/>
      <c r="G6" s="2176"/>
      <c r="H6" s="2176"/>
      <c r="I6" s="2249"/>
      <c r="J6" s="537"/>
      <c r="T6" s="505">
        <v>15</v>
      </c>
    </row>
    <row r="7" s="1635" customFormat="1" ht="15.75" customHeight="1">
      <c r="A7" s="759"/>
      <c r="C7" s="176"/>
      <c r="D7" s="676"/>
      <c r="E7" s="676"/>
      <c r="F7" s="676"/>
      <c r="G7" s="676"/>
      <c r="H7" s="752"/>
      <c r="I7" s="2407" t="s">
        <v>22</v>
      </c>
      <c r="J7" s="537"/>
      <c r="S7" s="675"/>
      <c r="T7" s="758">
        <v>15</v>
      </c>
    </row>
    <row r="8" ht="1.05" customHeight="1">
      <c r="C8" s="176"/>
      <c r="D8" s="509"/>
      <c r="E8" s="509"/>
      <c r="F8" s="509"/>
      <c r="G8" s="509"/>
      <c r="H8" s="537" t="s">
        <v>117</v>
      </c>
      <c r="I8" s="1635" t="s">
        <v>123</v>
      </c>
      <c r="T8" s="505">
        <v>1</v>
      </c>
    </row>
    <row r="9" ht="15.75" customHeight="1">
      <c r="C9" s="176"/>
      <c r="D9" s="711"/>
      <c r="E9" s="2367" t="s">
        <v>105</v>
      </c>
      <c r="F9" s="2368"/>
      <c r="G9" s="816" t="str">
        <f>IF(G8="","",INDEX(DIFFERENTIATION_UNMERGE_VD,MATCH(G8,DIFFERENTIATION_ID_DIFF,0)))</f>
        <v/>
      </c>
      <c r="H9" s="816" t="str">
        <f>IF(H8="","",INDEX(DIFFERENTIATION_UNMERGE_VD,MATCH(H8,DIFFERENTIATION_ID_DIFF,0)))</f>
        <v>Водоотведение</v>
      </c>
      <c r="I9" s="2395" t="str">
        <f>IF(I8="","",INDEX(DIFFERENTIATION_UNMERGE_VD,MATCH(I8,DIFFERENTIATION_ID_DIFF,0)))</f>
        <v>Транспортировка</v>
      </c>
      <c r="J9" s="2127" t="s">
        <v>303</v>
      </c>
      <c r="T9" s="505">
        <v>15</v>
      </c>
    </row>
    <row r="10" s="1635" customFormat="1" ht="15.75" customHeight="1">
      <c r="A10" s="759"/>
      <c r="C10" s="176"/>
      <c r="D10" s="711"/>
      <c r="E10" s="2367" t="s">
        <v>566</v>
      </c>
      <c r="F10" s="2368"/>
      <c r="G10" s="816" t="str">
        <f>IF(G8="","",INDEX(DIFFERENTIATION_UNMERGE_AREA,MATCH(G8,DIFFERENTIATION_ID_DIFF,0)))</f>
        <v/>
      </c>
      <c r="H10" s="816" t="str">
        <f>IF(H8="","",INDEX(DIFFERENTIATION_UNMERGE_AREA,MATCH(H8,DIFFERENTIATION_ID_DIFF,0)))</f>
        <v xml:space="preserve">без дифференциации</v>
      </c>
      <c r="I10" s="2395" t="str">
        <f>IF(I8="","",INDEX(DIFFERENTIATION_UNMERGE_AREA,MATCH(I8,DIFFERENTIATION_ID_DIFF,0)))</f>
        <v xml:space="preserve">без дифференциации</v>
      </c>
      <c r="J10" s="2127"/>
      <c r="S10" s="675"/>
      <c r="T10" s="758">
        <v>15</v>
      </c>
    </row>
    <row r="11" s="1635" customFormat="1" ht="15.75" customHeight="1">
      <c r="A11" s="759"/>
      <c r="C11" s="176"/>
      <c r="D11" s="711"/>
      <c r="E11" s="2367" t="s">
        <v>567</v>
      </c>
      <c r="F11" s="2368"/>
      <c r="G11" s="816" t="str">
        <f>IF(G8="","",INDEX(DIFFERENTIATION_UNMERGE_SYSTEM,MATCH(G8,DIFFERENTIATION_ID_DIFF,0)))</f>
        <v/>
      </c>
      <c r="H11" s="816" t="str">
        <f>IF(H8="","",INDEX(DIFFERENTIATION_UNMERGE_SYSTEM,MATCH(H8,DIFFERENTIATION_ID_DIFF,0)))</f>
        <v xml:space="preserve">без дифференциации</v>
      </c>
      <c r="I11" s="2395" t="str">
        <f>IF(I8="","",INDEX(DIFFERENTIATION_UNMERGE_SYSTEM,MATCH(I8,DIFFERENTIATION_ID_DIFF,0)))</f>
        <v xml:space="preserve">без дифференциации</v>
      </c>
      <c r="J11" s="2127"/>
      <c r="S11" s="675"/>
      <c r="T11" s="758">
        <v>15</v>
      </c>
    </row>
    <row r="12" s="1635" customFormat="1" ht="15.75" customHeight="1">
      <c r="A12" s="759"/>
      <c r="C12" s="176"/>
      <c r="D12" s="2369" t="s">
        <v>302</v>
      </c>
      <c r="E12" s="2370"/>
      <c r="F12" s="2370"/>
      <c r="G12" s="887"/>
      <c r="H12" s="887"/>
      <c r="I12" s="2367"/>
      <c r="J12" s="2127"/>
      <c r="S12" s="675"/>
      <c r="T12" s="758">
        <v>15</v>
      </c>
    </row>
    <row r="13" ht="35.649999999999999" customHeight="1">
      <c r="C13" s="176"/>
      <c r="D13" s="761" t="s">
        <v>87</v>
      </c>
      <c r="E13" s="760" t="s">
        <v>304</v>
      </c>
      <c r="F13" s="760" t="s">
        <v>568</v>
      </c>
      <c r="G13" s="808" t="s">
        <v>305</v>
      </c>
      <c r="H13" s="754" t="s">
        <v>305</v>
      </c>
      <c r="I13" s="2262" t="s">
        <v>305</v>
      </c>
      <c r="J13" s="2127"/>
      <c r="T13" s="505">
        <v>34</v>
      </c>
    </row>
    <row r="14" ht="15" hidden="1" customHeight="1">
      <c r="C14" s="176"/>
      <c r="D14" s="593" t="s">
        <v>109</v>
      </c>
      <c r="E14" s="593" t="s">
        <v>110</v>
      </c>
      <c r="F14" s="593" t="s">
        <v>89</v>
      </c>
      <c r="G14" s="659" t="str">
        <f>G1&amp;".1"</f>
        <v>.1</v>
      </c>
      <c r="H14" s="659" t="str">
        <f>H1&amp;".1"</f>
        <v>4.1</v>
      </c>
      <c r="I14" s="683" t="str">
        <f>I1&amp;".1"</f>
        <v>.1</v>
      </c>
      <c r="J14" s="289"/>
      <c r="T14" s="505">
        <v>0</v>
      </c>
    </row>
    <row r="15" ht="15.75" customHeight="1">
      <c r="A15" s="505"/>
      <c r="C15" s="526"/>
      <c r="D15" s="521">
        <v>1</v>
      </c>
      <c r="E15" s="1930" t="str">
        <f>TP_P_A</f>
        <v xml:space="preserve">Количество поданных заявлений</v>
      </c>
      <c r="F15" s="521" t="s">
        <v>1117</v>
      </c>
      <c r="G15" s="685"/>
      <c r="H15" s="685">
        <v>0</v>
      </c>
      <c r="I15" s="685">
        <v>0</v>
      </c>
      <c r="J15" s="208" t="str">
        <f>TP_P_NOTE_A</f>
        <v xml:space="preserve">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T15" s="505">
        <v>15</v>
      </c>
    </row>
    <row r="16" ht="15.75" customHeight="1">
      <c r="A16" s="505"/>
      <c r="C16" s="526"/>
      <c r="D16" s="521">
        <v>2</v>
      </c>
      <c r="E16" s="1930" t="str">
        <f>TP_P_B</f>
        <v xml:space="preserve">Количество исполненных заявлений</v>
      </c>
      <c r="F16" s="521" t="s">
        <v>1117</v>
      </c>
      <c r="G16" s="685"/>
      <c r="H16" s="685">
        <v>0</v>
      </c>
      <c r="I16" s="685">
        <v>0</v>
      </c>
      <c r="J16" s="208" t="str">
        <f>TP_P_NOTE_B</f>
        <v xml:space="preserve">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T16" s="505">
        <v>15</v>
      </c>
    </row>
    <row r="17" ht="77.700000000000003" customHeight="1">
      <c r="A17" s="505"/>
      <c r="C17" s="526"/>
      <c r="D17" s="521">
        <v>3</v>
      </c>
      <c r="E17" s="1930" t="str">
        <f>TP_P_V</f>
        <v xml:space="preserve">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1" t="s">
        <v>1117</v>
      </c>
      <c r="G17" s="685"/>
      <c r="H17" s="685">
        <v>0</v>
      </c>
      <c r="I17" s="685">
        <v>0</v>
      </c>
      <c r="J17" s="208" t="str">
        <f>TP_P_NOTE_V</f>
        <v xml:space="preserve">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T17" s="505">
        <v>74</v>
      </c>
    </row>
    <row r="18" ht="54.75" customHeight="1">
      <c r="A18" s="505"/>
      <c r="C18" s="526"/>
      <c r="D18" s="521">
        <v>4</v>
      </c>
      <c r="E18" s="1930" t="str">
        <f>TP_P_V_1</f>
        <v xml:space="preserve">Причины отказа в заключении договора о подключении (технологическом присоединении) к централизованной системе водоотведения</v>
      </c>
      <c r="F18" s="521" t="s">
        <v>308</v>
      </c>
      <c r="G18" s="686"/>
      <c r="H18" s="686"/>
      <c r="I18" s="2353"/>
      <c r="J18" s="838" t="str">
        <f>TP_P_NOTE_V_1</f>
        <v xml:space="preserve">Указывается текстовое описание причин принятия решений.
Не заполняется в случае, если решения об отказе в течение отчетного периода не принимались.</v>
      </c>
      <c r="T18" s="505">
        <v>52</v>
      </c>
    </row>
    <row r="19" ht="60" customHeight="1">
      <c r="A19" s="505"/>
      <c r="C19" s="526"/>
      <c r="D19" s="521">
        <v>5</v>
      </c>
      <c r="E19" s="1930" t="str">
        <f>TP_P_G</f>
        <v xml:space="preserve">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F19" s="521" t="str">
        <f>IF(TEMPLATE_SPHERE="HEAT","Гкал/час","тыс. куб. м/сутки")</f>
        <v xml:space="preserve">тыс. куб. м/сутки</v>
      </c>
      <c r="G19" s="687">
        <f>SUM(G20:G22)</f>
        <v>0</v>
      </c>
      <c r="H19" s="687">
        <f>SUM(H20:H22)</f>
        <v>3.8599999999999999</v>
      </c>
      <c r="I19" s="687">
        <f>SUM(I20:I22)</f>
        <v>3.8599999999999999</v>
      </c>
      <c r="J19" s="208" t="str">
        <f>TP_P_NOTE_G</f>
        <v xml:space="preserve">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T19" s="505">
        <v>57</v>
      </c>
    </row>
    <row r="20" ht="15" hidden="1" customHeight="1">
      <c r="D20" s="509" t="s">
        <v>1118</v>
      </c>
      <c r="E20" s="688"/>
      <c r="F20" s="509"/>
      <c r="G20" s="509"/>
      <c r="H20" s="509"/>
      <c r="I20" s="1635"/>
      <c r="J20" s="1763"/>
      <c r="T20" s="505">
        <v>0</v>
      </c>
    </row>
    <row r="21" ht="29.25" customHeight="1">
      <c r="C21" s="451"/>
      <c r="D21" s="539" t="s">
        <v>315</v>
      </c>
      <c r="E21" s="2576" t="s">
        <v>1119</v>
      </c>
      <c r="F21" s="1761" t="str">
        <f>IF(TEMPLATE_SPHERE="HEAT","Гкал/час","тыс. куб. м/сутки")</f>
        <v xml:space="preserve">тыс. куб. м/сутки</v>
      </c>
      <c r="G21" s="680"/>
      <c r="H21" s="680">
        <v>3.8599999999999999</v>
      </c>
      <c r="I21" s="680">
        <v>3.8599999999999999</v>
      </c>
      <c r="J21" s="2169" t="str">
        <f>TP_P_NOTE_G_1</f>
        <v xml:space="preserve">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T21" s="505">
        <v>28</v>
      </c>
    </row>
    <row r="22" ht="15.75" customHeight="1">
      <c r="A22" s="505"/>
      <c r="C22" s="505"/>
      <c r="D22" s="347"/>
      <c r="E22" s="580" t="s">
        <v>1120</v>
      </c>
      <c r="F22" s="572"/>
      <c r="G22" s="572"/>
      <c r="H22" s="572"/>
      <c r="I22" s="2641"/>
      <c r="J22" s="2171"/>
      <c r="S22" s="505"/>
      <c r="T22" s="505">
        <v>15</v>
      </c>
    </row>
    <row r="23" ht="22.5" hidden="1" customHeight="1">
      <c r="A23" s="449" t="s">
        <v>81</v>
      </c>
      <c r="B23" s="505">
        <v>0</v>
      </c>
      <c r="C23" s="683">
        <v>4</v>
      </c>
      <c r="D23" s="505">
        <v>6</v>
      </c>
      <c r="E23" s="505">
        <v>36</v>
      </c>
      <c r="F23" s="505">
        <v>9</v>
      </c>
      <c r="G23" s="758">
        <v>0</v>
      </c>
      <c r="H23" s="505">
        <v>40</v>
      </c>
      <c r="I23" s="1635">
        <v>0</v>
      </c>
      <c r="J23" s="417">
        <v>93</v>
      </c>
      <c r="K23" s="505">
        <v>10</v>
      </c>
      <c r="L23" s="505">
        <v>10</v>
      </c>
      <c r="M23" s="505">
        <v>10</v>
      </c>
      <c r="N23" s="505">
        <v>10</v>
      </c>
      <c r="O23" s="505">
        <v>10</v>
      </c>
      <c r="P23" s="505">
        <v>10</v>
      </c>
      <c r="Q23" s="505">
        <v>10</v>
      </c>
      <c r="R23" s="505">
        <v>10</v>
      </c>
      <c r="S23" s="675">
        <v>10</v>
      </c>
      <c r="T23" s="505">
        <v>23</v>
      </c>
    </row>
  </sheetData>
  <sheetProtection autoFilter="0" deleteColumns="0" deleteRows="0" formatColumns="0" formatRows="0" insertColumns="1" insertRows="0" sort="0"/>
  <mergeCells count="8">
    <mergeCell ref="J21:J22"/>
    <mergeCell ref="J9:J13"/>
    <mergeCell ref="D5:H5"/>
    <mergeCell ref="D6:H6"/>
    <mergeCell ref="E9:F9"/>
    <mergeCell ref="E10:F10"/>
    <mergeCell ref="E11:F11"/>
    <mergeCell ref="D12:F12"/>
  </mergeCells>
  <dataValidations count="1">
    <dataValidation sqref="E15 E13" allowBlank="1" prompt="Количество поданных заявок на подключение (технологическое присоединение) к системе теплоснабжения в течение квартала, шт." showErrorMessage="1" showInputMessage="1"/>
  </dataValidations>
  <pageMargins left="0.69999999999999996" right="0.69999999999999996" top="0.75" bottom="0.75" header="0.29999999999999999" footer="0.29999999999999999"/>
  <pageSetup paperSize="9"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3">
        <x14:dataValidation xr:uid="{00A500BA-00D9-43F1-91E0-0068007800E2}" type="textLength" allowBlank="1" error="Допускается ввод не более 900 символов!" errorTitle="Ошибка" operator="lessThanOrEqual" showErrorMessage="1" showInputMessage="1">
          <x14:formula1>
            <xm:f>900</xm:f>
          </x14:formula1>
          <xm:sqref>E21 E2 G18:I18</xm:sqref>
        </x14:dataValidation>
        <x14:dataValidation xr:uid="{00FE003F-0089-447A-B5E5-008A00C200AB}" type="whole" allowBlank="1" error="Допускается ввод только неотрицательных целых чисел!" errorTitle="Ошибка" showErrorMessage="1">
          <x14:formula1>
            <xm:f>0</xm:f>
          </x14:formula1>
          <x14:formula2>
            <xm:f>9.99999999999999E+23</xm:f>
          </x14:formula2>
          <xm:sqref>G15:I17</xm:sqref>
        </x14:dataValidation>
        <x14:dataValidation xr:uid="{002D0037-00FB-431B-AEC8-007100210088}" type="decimal" allowBlank="1" error="Допускается ввод только действительных чисел!" errorTitle="Ошибка" showErrorMessage="1">
          <x14:formula1>
            <xm:f>-9.99999999999999E+23</xm:f>
          </x14:formula1>
          <x14:formula2>
            <xm:f>9.99999999999999E+23</xm:f>
          </x14:formula2>
          <xm:sqref>G2:I2 G21:I21</xm:sqref>
        </x14:dataValidation>
      </x14:dataValidations>
    </ext>
  </extLst>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pageSetUpPr fitToPage="1"/>
  </sheetPr>
  <sheetViews>
    <sheetView showGridLines="0" topLeftCell="A1" zoomScale="90" workbookViewId="0">
      <selection activeCell="A1" sqref="A1"/>
    </sheetView>
  </sheetViews>
  <sheetFormatPr defaultColWidth="10.57421875" defaultRowHeight="14.25" customHeight="1"/>
  <cols>
    <col customWidth="1" hidden="1" min="1" max="1" style="2397" width="9.140625"/>
    <col customWidth="1" hidden="1" min="2" max="2" style="1366" width="9.140625"/>
    <col customWidth="1" min="3" max="3" style="344" width="3.00390625"/>
    <col customWidth="1" min="4" max="4" style="1635" width="6.00390625"/>
    <col customWidth="1" min="5" max="6" style="1635" width="64.00390625"/>
    <col customWidth="1" min="7" max="7" style="1635" width="140.00390625"/>
    <col customWidth="1" min="8" max="8" style="1635" width="10.00390625"/>
    <col customWidth="1" min="9" max="10" style="1624" width="10.00390625"/>
    <col customWidth="1" min="11" max="16" style="1635" width="10.00390625"/>
    <col hidden="1" min="17" max="17" style="1635" width="10.57421875"/>
  </cols>
  <sheetData>
    <row r="1" ht="22.5" hidden="1" customHeight="1">
      <c r="M1" s="255"/>
      <c r="N1" s="255"/>
      <c r="P1" s="255"/>
      <c r="Q1" s="83" t="s">
        <v>14</v>
      </c>
    </row>
    <row r="2" ht="14.25" hidden="1" customHeight="1">
      <c r="Q2" s="83">
        <v>0</v>
      </c>
    </row>
    <row r="3" ht="14.25" hidden="1" customHeight="1">
      <c r="Q3" s="83">
        <v>0</v>
      </c>
    </row>
    <row r="4" ht="3" customHeight="1">
      <c r="C4" s="96"/>
      <c r="D4" s="84"/>
      <c r="E4" s="84"/>
      <c r="F4" s="85"/>
      <c r="G4" s="85"/>
      <c r="Q4" s="83">
        <v>3</v>
      </c>
    </row>
    <row r="5" ht="29.25" customHeight="1">
      <c r="C5" s="96"/>
      <c r="D5" s="2454" t="str">
        <f>TERMS_NAME_FORM</f>
        <v xml:space="preserve">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E5" s="2455"/>
      <c r="F5" s="2455"/>
      <c r="G5" s="2456"/>
      <c r="Q5" s="83">
        <v>28</v>
      </c>
    </row>
    <row r="6" s="1635" customFormat="1" ht="18.75" customHeight="1">
      <c r="A6" s="882"/>
      <c r="B6" s="417"/>
      <c r="C6" s="376"/>
      <c r="D6" s="2457" t="str">
        <f>IF(org=0,"Не определено",org)</f>
        <v xml:space="preserve">филиал ПАО "ОГК-2" - Рязанская ГРЭС</v>
      </c>
      <c r="E6" s="2458"/>
      <c r="F6" s="2458"/>
      <c r="G6" s="2459"/>
      <c r="I6" s="500"/>
      <c r="J6" s="500"/>
      <c r="Q6" s="758">
        <v>18</v>
      </c>
    </row>
    <row r="7" ht="14.65" customHeight="1">
      <c r="C7" s="96"/>
      <c r="D7" s="84"/>
      <c r="E7" s="95"/>
      <c r="F7" s="752"/>
      <c r="G7" s="193"/>
      <c r="Q7" s="83">
        <v>14</v>
      </c>
    </row>
    <row r="8" s="1635" customFormat="1" ht="1.05" customHeight="1">
      <c r="A8" s="1669"/>
      <c r="B8" s="1160"/>
      <c r="C8" s="376"/>
      <c r="D8" s="363"/>
      <c r="E8" s="389"/>
      <c r="F8" s="752"/>
      <c r="G8" s="193"/>
      <c r="I8" s="1624"/>
      <c r="J8" s="1624"/>
      <c r="Q8" s="1631">
        <v>1</v>
      </c>
    </row>
    <row r="9" ht="14.65" customHeight="1">
      <c r="C9" s="96"/>
      <c r="D9" s="2209" t="s">
        <v>302</v>
      </c>
      <c r="E9" s="2209"/>
      <c r="F9" s="2209"/>
      <c r="G9" s="2389" t="s">
        <v>303</v>
      </c>
      <c r="Q9" s="83">
        <v>14</v>
      </c>
    </row>
    <row r="10" ht="24" customHeight="1">
      <c r="C10" s="96"/>
      <c r="D10" s="105" t="s">
        <v>87</v>
      </c>
      <c r="E10" s="108" t="s">
        <v>304</v>
      </c>
      <c r="F10" s="108" t="s">
        <v>392</v>
      </c>
      <c r="G10" s="2389"/>
      <c r="Q10" s="83">
        <v>23</v>
      </c>
    </row>
    <row r="11" ht="12" hidden="1" customHeight="1">
      <c r="C11" s="96"/>
      <c r="D11" s="87"/>
      <c r="E11" s="87"/>
      <c r="F11" s="87"/>
      <c r="G11" s="87"/>
      <c r="Q11" s="83">
        <v>0</v>
      </c>
    </row>
    <row r="12" ht="65.25" customHeight="1">
      <c r="A12" s="192"/>
      <c r="C12" s="96"/>
      <c r="D12" s="147">
        <v>1</v>
      </c>
      <c r="E12" s="197" t="str">
        <f>TERMS_P_1</f>
        <v xml:space="preserve">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F12" s="198" t="s">
        <v>308</v>
      </c>
      <c r="G12" s="151"/>
      <c r="Q12" s="83">
        <v>62</v>
      </c>
    </row>
    <row r="13" ht="24" customHeight="1">
      <c r="A13" s="192"/>
      <c r="C13" s="96"/>
      <c r="D13" s="147" t="s">
        <v>1024</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 xml:space="preserve">Форма публичного договора поставки товаров (оказания услуг), тарифы на которые подлежат регулированию</v>
      </c>
      <c r="F13" s="198" t="s">
        <v>308</v>
      </c>
      <c r="G13" s="151"/>
      <c r="Q13" s="83">
        <v>23</v>
      </c>
    </row>
    <row r="14" ht="14.65" customHeight="1">
      <c r="A14" s="192"/>
      <c r="C14" s="96"/>
      <c r="D14" s="147" t="s">
        <v>1060</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 xml:space="preserve">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r="15" ht="15.75" customHeight="1">
      <c r="A15" s="192"/>
      <c r="C15" s="96"/>
      <c r="D15" s="109"/>
      <c r="E15" s="349" t="s">
        <v>1121</v>
      </c>
      <c r="F15" s="201"/>
      <c r="G15" s="2171"/>
      <c r="Q15" s="83">
        <v>15</v>
      </c>
    </row>
    <row r="16" ht="14.65" customHeight="1">
      <c r="A16" s="192"/>
      <c r="C16" s="96"/>
      <c r="D16" s="147" t="s">
        <v>1026</v>
      </c>
      <c r="E16" s="194" t="str">
        <f>"Договор о подключении (технологическом присоединении) к"&amp;IF(TEMPLATE_SPHERE="HEAT",""," централизованной")&amp;" системе "&amp;TEMPLATE_SPHERE_RUS</f>
        <v xml:space="preserve">Договор о подключении (технологическом присоединении) к централизованной системе водоотведения</v>
      </c>
      <c r="F16" s="198" t="s">
        <v>308</v>
      </c>
      <c r="G16" s="337"/>
      <c r="Q16" s="83">
        <v>14</v>
      </c>
    </row>
    <row r="17" ht="14.65" customHeight="1">
      <c r="A17" s="192"/>
      <c r="C17" s="96"/>
      <c r="D17" s="147" t="s">
        <v>1068</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 xml:space="preserve">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c r="Q17" s="83">
        <v>14</v>
      </c>
    </row>
    <row r="18" s="1635" customFormat="1" ht="22" customHeight="1">
      <c r="A18" s="343"/>
      <c r="B18" s="146"/>
      <c r="C18" s="307"/>
      <c r="D18" s="347"/>
      <c r="E18" s="349" t="s">
        <v>1122</v>
      </c>
      <c r="F18" s="338"/>
      <c r="G18" s="2171"/>
      <c r="I18" s="350"/>
      <c r="J18" s="350"/>
      <c r="Q18" s="342">
        <v>21</v>
      </c>
    </row>
    <row r="19" s="1635" customFormat="1" ht="256.5" hidden="1" customHeight="1">
      <c r="A19" s="343"/>
      <c r="B19" s="417"/>
      <c r="C19" s="376"/>
      <c r="D19" s="884" t="s">
        <v>1028</v>
      </c>
      <c r="E19" s="883" t="s">
        <v>1123</v>
      </c>
      <c r="F19" s="385"/>
      <c r="G19" s="337" t="s">
        <v>1124</v>
      </c>
      <c r="I19" s="500"/>
      <c r="J19" s="500"/>
      <c r="Q19" s="758">
        <v>0</v>
      </c>
    </row>
    <row r="20" s="1635" customFormat="1" ht="14.65" customHeight="1">
      <c r="A20" s="343"/>
      <c r="B20" s="146"/>
      <c r="C20" s="307"/>
      <c r="D20" s="885">
        <v>2</v>
      </c>
      <c r="E20" s="330" t="s">
        <v>1125</v>
      </c>
      <c r="F20" s="198" t="s">
        <v>308</v>
      </c>
      <c r="G20" s="337"/>
      <c r="I20" s="350"/>
      <c r="J20" s="350"/>
      <c r="Q20" s="342">
        <v>14</v>
      </c>
    </row>
    <row r="21" s="1635" customFormat="1" ht="18.75" hidden="1" customHeight="1">
      <c r="A21" s="343"/>
      <c r="B21" s="146"/>
      <c r="C21" s="307"/>
      <c r="D21" s="333" t="s">
        <v>639</v>
      </c>
      <c r="E21" s="332"/>
      <c r="F21" s="331"/>
      <c r="G21" s="341"/>
      <c r="H21" s="334"/>
      <c r="I21" s="350"/>
      <c r="J21" s="350"/>
      <c r="Q21" s="342">
        <v>0</v>
      </c>
    </row>
    <row r="22" ht="15.75" customHeight="1">
      <c r="A22" s="192"/>
      <c r="C22" s="96"/>
      <c r="D22" s="109"/>
      <c r="E22" s="203" t="s">
        <v>324</v>
      </c>
      <c r="F22" s="338"/>
      <c r="G22" s="339"/>
      <c r="Q22" s="83">
        <v>15</v>
      </c>
    </row>
    <row r="23" s="1635" customFormat="1" ht="22.5" hidden="1" customHeight="1">
      <c r="A23" s="343"/>
      <c r="B23" s="1160"/>
      <c r="C23" s="376"/>
      <c r="D23" s="1673" t="s">
        <v>110</v>
      </c>
      <c r="E23" s="197" t="s">
        <v>1126</v>
      </c>
      <c r="F23" s="1670" t="s">
        <v>308</v>
      </c>
      <c r="G23" s="345"/>
      <c r="I23" s="1624"/>
      <c r="J23" s="1624"/>
      <c r="Q23" s="1631">
        <v>0</v>
      </c>
    </row>
    <row r="24" s="1635" customFormat="1" ht="14.25" hidden="1" customHeight="1">
      <c r="A24" s="343"/>
      <c r="B24" s="1160"/>
      <c r="C24" s="376"/>
      <c r="D24" s="1673" t="s">
        <v>711</v>
      </c>
      <c r="E24" s="1672" t="s">
        <v>1127</v>
      </c>
      <c r="F24" s="1670" t="s">
        <v>308</v>
      </c>
      <c r="G24" s="337"/>
      <c r="I24" s="1624"/>
      <c r="J24" s="1624"/>
      <c r="Q24" s="1631">
        <v>0</v>
      </c>
    </row>
    <row r="25" s="1635" customFormat="1" ht="14.25" hidden="1" customHeight="1">
      <c r="A25" s="343"/>
      <c r="B25" s="1160"/>
      <c r="C25" s="376"/>
      <c r="D25" s="1673" t="s">
        <v>714</v>
      </c>
      <c r="E25" s="195"/>
      <c r="F25" s="385"/>
      <c r="G25" s="2169" t="s">
        <v>1128</v>
      </c>
      <c r="I25" s="1624"/>
      <c r="J25" s="1624"/>
      <c r="Q25" s="1631">
        <v>0</v>
      </c>
    </row>
    <row r="26" s="1635" customFormat="1" ht="22.5" hidden="1" customHeight="1">
      <c r="A26" s="343"/>
      <c r="B26" s="1160"/>
      <c r="C26" s="376"/>
      <c r="D26" s="347"/>
      <c r="E26" s="349" t="s">
        <v>1129</v>
      </c>
      <c r="F26" s="338"/>
      <c r="G26" s="2171"/>
      <c r="I26" s="1624"/>
      <c r="J26" s="1624"/>
      <c r="Q26" s="1631">
        <v>0</v>
      </c>
    </row>
    <row r="27" ht="3" customHeight="1">
      <c r="Q27" s="83">
        <v>3</v>
      </c>
    </row>
    <row r="28" ht="14.65" customHeight="1">
      <c r="D28" s="336"/>
      <c r="E28" s="335"/>
      <c r="F28" s="315"/>
      <c r="G28" s="315"/>
      <c r="H28" s="315"/>
      <c r="I28" s="315"/>
      <c r="J28" s="315"/>
      <c r="K28" s="315"/>
      <c r="L28" s="315"/>
      <c r="M28" s="315"/>
      <c r="N28" s="315"/>
      <c r="O28" s="315"/>
      <c r="P28" s="315"/>
      <c r="Q28" s="83">
        <v>14</v>
      </c>
    </row>
    <row r="29" ht="14.65" customHeight="1">
      <c r="D29" s="336"/>
      <c r="E29" s="582"/>
      <c r="Q29" s="83">
        <v>14</v>
      </c>
    </row>
    <row r="30" ht="14.65" customHeight="1">
      <c r="Q30" s="83">
        <v>14</v>
      </c>
    </row>
    <row r="31" ht="14.65" customHeight="1">
      <c r="E31" s="758"/>
      <c r="Q31" s="83">
        <v>14</v>
      </c>
    </row>
    <row r="32" ht="22.5" hidden="1" customHeight="1">
      <c r="A32" s="101" t="s">
        <v>81</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autoFilter="0" deleteColumns="0" deleteRows="0" formatColumns="0" formatRows="0" insertColumns="1" insertRows="0" sort="0"/>
  <mergeCells count="7">
    <mergeCell ref="D5:G5"/>
    <mergeCell ref="D6:G6"/>
    <mergeCell ref="G25:G26"/>
    <mergeCell ref="G17:G18"/>
    <mergeCell ref="D9:F9"/>
    <mergeCell ref="G9:G10"/>
    <mergeCell ref="G14:G15"/>
  </mergeCells>
  <pageMargins left="0" right="0" top="0" bottom="0" header="0" footer="0.79000000000000004"/>
  <pageSetup paperSize="9" scale="41" fitToHeight="0" pageOrder="downThenOver" orientation="portrait" blackAndWhite="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2">
        <x14:dataValidation xr:uid="{007F00F3-00BB-439D-9BB6-00B7008C00FF}" type="textLength" allowBlank="1" error="Допускается ввод не более 900 символов!" errorTitle="Ошибка" operator="lessThanOrEqual" prompt="Введите ссылку на обосновывающие материалы, загруженные с помощью &quot;ЕИАС Web&quot;." showErrorMessage="1" showInputMessage="1">
          <x14:formula1>
            <xm:f>900</xm:f>
          </x14:formula1>
          <xm:sqref>F14 F17:F19 F25:F26</xm:sqref>
        </x14:dataValidation>
        <x14:dataValidation xr:uid="{00E000CA-00B7-4135-99D1-00FD005C0033}" type="textLength" allowBlank="1" error="Допускается ввод не более 900 символов!" errorTitle="Ошибка" operator="lessThanOrEqual" showErrorMessage="1" showInputMessage="1">
          <x14:formula1>
            <xm:f>900</xm:f>
          </x14:formula1>
          <xm:sqref>G14 G25 E17 E14 G17 G21 E25</xm:sqref>
        </x14:dataValidation>
      </x14:dataValidations>
    </ext>
  </extLst>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sheetPr>
  <sheetViews>
    <sheetView showGridLines="0" topLeftCell="A1" zoomScale="90" workbookViewId="0">
      <selection activeCell="A1" sqref="A1"/>
    </sheetView>
  </sheetViews>
  <sheetFormatPr defaultColWidth="10.57421875" defaultRowHeight="14.25" customHeight="1"/>
  <cols>
    <col customWidth="1" hidden="1" min="1" max="1" style="1776" width="9.140625"/>
    <col customWidth="1" hidden="1" min="2" max="2" style="1366" width="9.140625"/>
    <col customWidth="1" min="3" max="3" style="344" width="3.00390625"/>
    <col customWidth="1" min="4" max="4" style="1635" width="6.00390625"/>
    <col customWidth="1" min="5" max="5" style="1635" width="63.00390625"/>
    <col customWidth="1" hidden="1" min="6" max="6" style="1635" width="1.7109375"/>
    <col customWidth="1" min="7" max="8" style="1635" width="35.00390625"/>
    <col customWidth="1" min="9" max="9" style="1635" width="91.00390625"/>
    <col customWidth="1" min="10" max="10" style="1635" width="68.00390625"/>
    <col customWidth="1" min="11" max="12" style="1624" width="10.00390625"/>
    <col hidden="1" min="13" max="13" style="1635" width="10.57421875"/>
  </cols>
  <sheetData>
    <row r="1" ht="22.5" hidden="1" customHeight="1">
      <c r="M1" s="83" t="s">
        <v>14</v>
      </c>
    </row>
    <row r="2" s="1635" customFormat="1" ht="18.75" hidden="1" customHeight="1">
      <c r="A2" s="1683"/>
      <c r="B2" s="1160"/>
      <c r="C2" s="1730" t="s">
        <v>122</v>
      </c>
      <c r="D2" s="1673"/>
      <c r="E2" s="199"/>
      <c r="F2" s="1670"/>
      <c r="G2" s="1670" t="s">
        <v>308</v>
      </c>
      <c r="H2" s="1161"/>
      <c r="K2" s="1624"/>
      <c r="L2" s="1624"/>
      <c r="M2" s="1631">
        <v>0</v>
      </c>
    </row>
    <row r="3" s="1635" customFormat="1" ht="14.25" hidden="1" customHeight="1">
      <c r="A3" s="1362"/>
      <c r="B3" s="1160"/>
      <c r="C3" s="344"/>
      <c r="K3" s="1624"/>
      <c r="L3" s="1624"/>
      <c r="M3" s="1631">
        <v>0</v>
      </c>
    </row>
    <row r="4" s="1635" customFormat="1" ht="18.75" hidden="1" customHeight="1">
      <c r="A4" s="1683"/>
      <c r="B4" s="1160"/>
      <c r="C4" s="1730" t="s">
        <v>122</v>
      </c>
      <c r="D4" s="1673"/>
      <c r="E4" s="205" t="s">
        <v>1130</v>
      </c>
      <c r="F4" s="1670"/>
      <c r="G4" s="257"/>
      <c r="H4" s="1670" t="s">
        <v>308</v>
      </c>
      <c r="K4" s="1624"/>
      <c r="L4" s="1624"/>
      <c r="M4" s="1631">
        <v>0</v>
      </c>
    </row>
    <row r="5" s="1635" customFormat="1" ht="14.25" hidden="1" customHeight="1">
      <c r="A5" s="1362"/>
      <c r="B5" s="1160"/>
      <c r="C5" s="344"/>
      <c r="K5" s="1624"/>
      <c r="L5" s="1624"/>
      <c r="M5" s="1631">
        <v>0</v>
      </c>
    </row>
    <row r="6" s="1635" customFormat="1" ht="18.75" hidden="1" customHeight="1">
      <c r="A6" s="1683"/>
      <c r="B6" s="1160"/>
      <c r="C6" s="1730" t="s">
        <v>122</v>
      </c>
      <c r="D6" s="1673"/>
      <c r="E6" s="206" t="s">
        <v>1131</v>
      </c>
      <c r="F6" s="1670"/>
      <c r="G6" s="257"/>
      <c r="H6" s="1670" t="s">
        <v>308</v>
      </c>
      <c r="K6" s="1624"/>
      <c r="L6" s="1624"/>
      <c r="M6" s="1631">
        <v>0</v>
      </c>
    </row>
    <row r="7" s="1635" customFormat="1" ht="14.25" hidden="1" customHeight="1">
      <c r="A7" s="1362"/>
      <c r="B7" s="1160"/>
      <c r="C7" s="344"/>
      <c r="K7" s="1624"/>
      <c r="L7" s="1624"/>
      <c r="M7" s="1631">
        <v>0</v>
      </c>
    </row>
    <row r="8" s="1635" customFormat="1" ht="18.75" hidden="1" customHeight="1">
      <c r="A8" s="1683"/>
      <c r="B8" s="1160"/>
      <c r="C8" s="1730" t="s">
        <v>122</v>
      </c>
      <c r="D8" s="1673"/>
      <c r="E8" s="206" t="s">
        <v>1132</v>
      </c>
      <c r="F8" s="1670"/>
      <c r="G8" s="257"/>
      <c r="H8" s="1670" t="s">
        <v>308</v>
      </c>
      <c r="K8" s="1624"/>
      <c r="L8" s="1624"/>
      <c r="M8" s="1631">
        <v>0</v>
      </c>
    </row>
    <row r="9" s="1635" customFormat="1" ht="14.25" hidden="1" customHeight="1">
      <c r="A9" s="1362"/>
      <c r="B9" s="1160"/>
      <c r="C9" s="344"/>
      <c r="K9" s="1624"/>
      <c r="L9" s="1624"/>
      <c r="M9" s="1631">
        <v>0</v>
      </c>
    </row>
    <row r="10" s="1635" customFormat="1" ht="18.75" hidden="1" customHeight="1">
      <c r="A10" s="1683"/>
      <c r="B10" s="1160"/>
      <c r="C10" s="1730" t="s">
        <v>122</v>
      </c>
      <c r="D10" s="1673"/>
      <c r="E10" s="206" t="s">
        <v>1133</v>
      </c>
      <c r="F10" s="1670"/>
      <c r="G10" s="1674"/>
      <c r="H10" s="1670" t="s">
        <v>308</v>
      </c>
      <c r="K10" s="1624"/>
      <c r="L10" s="1624" t="s">
        <v>1134</v>
      </c>
      <c r="M10" s="1631">
        <v>0</v>
      </c>
    </row>
    <row r="11" ht="14.25" hidden="1" customHeight="1">
      <c r="M11" s="83">
        <v>0</v>
      </c>
    </row>
    <row r="12" ht="14.25" hidden="1" customHeight="1">
      <c r="M12" s="83">
        <v>0</v>
      </c>
    </row>
    <row r="13" ht="14.65" customHeight="1">
      <c r="C13" s="96"/>
      <c r="D13" s="84"/>
      <c r="E13" s="84"/>
      <c r="F13" s="84"/>
      <c r="G13" s="84"/>
      <c r="H13" s="85"/>
      <c r="I13" s="85"/>
      <c r="M13" s="83">
        <v>14</v>
      </c>
    </row>
    <row r="14" ht="29.25" customHeight="1">
      <c r="C14" s="96"/>
      <c r="D14" s="2454" t="str">
        <f>PROCEDURE_TC_NAME_FORM</f>
        <v xml:space="preserve">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E14" s="2455"/>
      <c r="F14" s="2455"/>
      <c r="G14" s="2455"/>
      <c r="H14" s="2456"/>
      <c r="J14" s="1631"/>
      <c r="M14" s="83">
        <v>28</v>
      </c>
    </row>
    <row r="15" s="1635" customFormat="1" ht="14.65" customHeight="1">
      <c r="A15" s="1362"/>
      <c r="B15" s="1160"/>
      <c r="C15" s="376"/>
      <c r="D15" s="2457" t="str">
        <f>IF(org=0,"Не определено",org)</f>
        <v xml:space="preserve">филиал ПАО "ОГК-2" - Рязанская ГРЭС</v>
      </c>
      <c r="E15" s="2458"/>
      <c r="F15" s="2458"/>
      <c r="G15" s="2458"/>
      <c r="H15" s="2459"/>
      <c r="J15" s="852"/>
      <c r="K15" s="1624"/>
      <c r="L15" s="1624"/>
      <c r="M15" s="1631">
        <v>14</v>
      </c>
    </row>
    <row r="16" ht="14.65" customHeight="1">
      <c r="C16" s="96"/>
      <c r="D16" s="84"/>
      <c r="E16" s="95"/>
      <c r="F16" s="95"/>
      <c r="G16" s="95"/>
      <c r="H16" s="752"/>
      <c r="I16" s="193"/>
      <c r="M16" s="83">
        <v>14</v>
      </c>
    </row>
    <row r="17" s="1635" customFormat="1" ht="14.25" hidden="1" customHeight="1">
      <c r="A17" s="1362"/>
      <c r="B17" s="1160"/>
      <c r="C17" s="376"/>
      <c r="D17" s="363"/>
      <c r="E17" s="389"/>
      <c r="F17" s="389"/>
      <c r="G17" s="389"/>
      <c r="H17" s="752"/>
      <c r="I17" s="193"/>
      <c r="K17" s="1624"/>
      <c r="L17" s="1624"/>
      <c r="M17" s="1631">
        <v>0</v>
      </c>
    </row>
    <row r="18" ht="22" customHeight="1">
      <c r="C18" s="96"/>
      <c r="D18" s="2209" t="s">
        <v>302</v>
      </c>
      <c r="E18" s="2209"/>
      <c r="F18" s="2209"/>
      <c r="G18" s="2209"/>
      <c r="H18" s="2209"/>
      <c r="I18" s="2389" t="s">
        <v>303</v>
      </c>
      <c r="M18" s="83">
        <v>21</v>
      </c>
    </row>
    <row r="19" ht="22" customHeight="1">
      <c r="C19" s="96"/>
      <c r="D19" s="105" t="s">
        <v>87</v>
      </c>
      <c r="E19" s="108" t="s">
        <v>304</v>
      </c>
      <c r="F19" s="108"/>
      <c r="G19" s="108" t="s">
        <v>305</v>
      </c>
      <c r="H19" s="108" t="s">
        <v>392</v>
      </c>
      <c r="I19" s="2389"/>
      <c r="M19" s="83">
        <v>21</v>
      </c>
    </row>
    <row r="20" ht="12" hidden="1" customHeight="1">
      <c r="C20" s="96"/>
      <c r="D20" s="87"/>
      <c r="E20" s="87"/>
      <c r="F20" s="87"/>
      <c r="G20" s="87"/>
      <c r="H20" s="87"/>
      <c r="I20" s="87"/>
      <c r="M20" s="83">
        <v>0</v>
      </c>
    </row>
    <row r="21" ht="14.65" customHeight="1">
      <c r="A21" s="1683"/>
      <c r="C21" s="96"/>
      <c r="D21" s="147">
        <v>1</v>
      </c>
      <c r="E21" s="2461" t="s">
        <v>1135</v>
      </c>
      <c r="F21" s="2461"/>
      <c r="G21" s="2461"/>
      <c r="H21" s="2461"/>
      <c r="I21" s="208"/>
      <c r="M21" s="83">
        <v>14</v>
      </c>
    </row>
    <row r="22" ht="21" customHeight="1">
      <c r="A22" s="1683"/>
      <c r="C22" s="96"/>
      <c r="D22" s="147" t="s">
        <v>1024</v>
      </c>
      <c r="E22" s="194" t="s">
        <v>1136</v>
      </c>
      <c r="F22" s="198"/>
      <c r="G22" s="1737"/>
      <c r="H22" s="198" t="s">
        <v>308</v>
      </c>
      <c r="I22" s="151" t="s">
        <v>1137</v>
      </c>
      <c r="M22" s="83">
        <v>20</v>
      </c>
    </row>
    <row r="23" ht="60" customHeight="1">
      <c r="A23" s="1683"/>
      <c r="C23" s="96"/>
      <c r="D23" s="147" t="s">
        <v>1026</v>
      </c>
      <c r="E23" s="194" t="s">
        <v>1138</v>
      </c>
      <c r="F23" s="198"/>
      <c r="G23" s="257"/>
      <c r="H23" s="213"/>
      <c r="I23" s="258" t="s">
        <v>1139</v>
      </c>
      <c r="M23" s="83">
        <v>57</v>
      </c>
    </row>
    <row r="24" ht="14.65" customHeight="1">
      <c r="A24" s="1683"/>
      <c r="B24" s="146">
        <v>3</v>
      </c>
      <c r="C24" s="96"/>
      <c r="D24" s="147">
        <v>2</v>
      </c>
      <c r="E24" s="222" t="str">
        <f>"Форма заявки на заключение договора о подключении (технологическом присоединении) к системе "&amp;TEMPLATE_SPHERE_RUS</f>
        <v xml:space="preserve">Форма заявки на заключение договора о подключении (технологическом присоединении) к системе водоотведения</v>
      </c>
      <c r="F24" s="198"/>
      <c r="G24" s="198" t="s">
        <v>308</v>
      </c>
      <c r="H24" s="213"/>
      <c r="I24" s="259" t="s">
        <v>634</v>
      </c>
      <c r="M24" s="83">
        <v>14</v>
      </c>
    </row>
    <row r="25" ht="48.25" customHeight="1">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 xml:space="preserve">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0"/>
      <c r="G25" s="2460"/>
      <c r="H25" s="2460"/>
      <c r="I25" s="256"/>
      <c r="M25" s="83">
        <v>46</v>
      </c>
    </row>
    <row r="26" ht="14.65" customHeight="1">
      <c r="A26" s="1683"/>
      <c r="C26" s="96"/>
      <c r="D26" s="147" t="s">
        <v>326</v>
      </c>
      <c r="E26" s="199"/>
      <c r="F26" s="198"/>
      <c r="G26" s="198" t="s">
        <v>308</v>
      </c>
      <c r="H26" s="213"/>
      <c r="I26" s="2169" t="s">
        <v>1140</v>
      </c>
      <c r="M26" s="83">
        <v>14</v>
      </c>
    </row>
    <row r="27" ht="15.75" customHeight="1">
      <c r="A27" s="1683" t="s">
        <v>109</v>
      </c>
      <c r="C27" s="96"/>
      <c r="D27" s="109"/>
      <c r="E27" s="203" t="s">
        <v>324</v>
      </c>
      <c r="F27" s="204"/>
      <c r="G27" s="204"/>
      <c r="H27" s="201"/>
      <c r="I27" s="2171"/>
      <c r="M27" s="83">
        <v>15</v>
      </c>
    </row>
    <row r="28" ht="39.75" customHeight="1">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 xml:space="preserve">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r="F28" s="2460"/>
      <c r="G28" s="2460"/>
      <c r="H28" s="2460"/>
      <c r="I28" s="256"/>
      <c r="M28" s="83">
        <v>38</v>
      </c>
    </row>
    <row r="29" ht="21" customHeight="1">
      <c r="A29" s="1683"/>
      <c r="C29" s="96"/>
      <c r="D29" s="147" t="s">
        <v>756</v>
      </c>
      <c r="E29" s="205" t="s">
        <v>1130</v>
      </c>
      <c r="F29" s="198"/>
      <c r="G29" s="257"/>
      <c r="H29" s="198" t="s">
        <v>308</v>
      </c>
      <c r="I29" s="2169" t="s">
        <v>1141</v>
      </c>
      <c r="M29" s="83">
        <v>20</v>
      </c>
    </row>
    <row r="30" ht="15.75" customHeight="1">
      <c r="A30" s="1683" t="s">
        <v>110</v>
      </c>
      <c r="C30" s="96"/>
      <c r="D30" s="109"/>
      <c r="E30" s="203" t="s">
        <v>324</v>
      </c>
      <c r="F30" s="204"/>
      <c r="G30" s="204"/>
      <c r="H30" s="201"/>
      <c r="I30" s="2171"/>
      <c r="M30" s="83">
        <v>15</v>
      </c>
    </row>
    <row r="31" ht="31.5" customHeight="1">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 xml:space="preserve">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1" s="2460"/>
      <c r="G31" s="2460"/>
      <c r="H31" s="2460"/>
      <c r="I31" s="256"/>
      <c r="M31" s="83">
        <v>30</v>
      </c>
    </row>
    <row r="32" ht="27.300000000000001" customHeight="1">
      <c r="A32" s="1683"/>
      <c r="C32" s="96"/>
      <c r="D32" s="147" t="s">
        <v>315</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 xml:space="preserve">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r="F32" s="2403"/>
      <c r="G32" s="2403"/>
      <c r="H32" s="2403"/>
      <c r="I32" s="256"/>
      <c r="M32" s="83">
        <v>26</v>
      </c>
    </row>
    <row r="33" ht="14.65" customHeight="1">
      <c r="A33" s="1683"/>
      <c r="C33" s="96"/>
      <c r="D33" s="147" t="s">
        <v>1142</v>
      </c>
      <c r="E33" s="206" t="s">
        <v>1131</v>
      </c>
      <c r="F33" s="198"/>
      <c r="G33" s="257"/>
      <c r="H33" s="198" t="s">
        <v>308</v>
      </c>
      <c r="I33" s="2169" t="s">
        <v>1143</v>
      </c>
      <c r="M33" s="83">
        <v>14</v>
      </c>
    </row>
    <row r="34" ht="15.75" customHeight="1">
      <c r="A34" s="1683" t="s">
        <v>89</v>
      </c>
      <c r="C34" s="96"/>
      <c r="D34" s="109"/>
      <c r="E34" s="204" t="s">
        <v>324</v>
      </c>
      <c r="F34" s="200"/>
      <c r="G34" s="200"/>
      <c r="H34" s="201"/>
      <c r="I34" s="2171"/>
      <c r="M34" s="83">
        <v>15</v>
      </c>
    </row>
    <row r="35" ht="25.199999999999999" customHeight="1">
      <c r="A35" s="1683"/>
      <c r="C35" s="96"/>
      <c r="D35" s="147" t="s">
        <v>884</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 xml:space="preserve">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r="F35" s="2403"/>
      <c r="G35" s="2403"/>
      <c r="H35" s="2403"/>
      <c r="I35" s="256"/>
      <c r="M35" s="83">
        <v>24</v>
      </c>
    </row>
    <row r="36" ht="14.65" customHeight="1">
      <c r="A36" s="1683"/>
      <c r="C36" s="96"/>
      <c r="D36" s="147" t="s">
        <v>1144</v>
      </c>
      <c r="E36" s="206" t="s">
        <v>1132</v>
      </c>
      <c r="F36" s="198"/>
      <c r="G36" s="257"/>
      <c r="H36" s="198" t="s">
        <v>308</v>
      </c>
      <c r="I36" s="2143" t="s">
        <v>1145</v>
      </c>
      <c r="M36" s="83">
        <v>14</v>
      </c>
    </row>
    <row r="37" ht="15.75" customHeight="1">
      <c r="A37" s="1683" t="s">
        <v>90</v>
      </c>
      <c r="C37" s="96"/>
      <c r="D37" s="109"/>
      <c r="E37" s="204" t="s">
        <v>324</v>
      </c>
      <c r="F37" s="200"/>
      <c r="G37" s="200"/>
      <c r="H37" s="201"/>
      <c r="I37" s="2143"/>
      <c r="M37" s="83">
        <v>15</v>
      </c>
    </row>
    <row r="38" ht="27.300000000000001" customHeight="1">
      <c r="A38" s="1683"/>
      <c r="C38" s="96"/>
      <c r="D38" s="147" t="s">
        <v>885</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 xml:space="preserve">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8" s="2403"/>
      <c r="G38" s="2403"/>
      <c r="H38" s="2403"/>
      <c r="I38" s="256"/>
      <c r="M38" s="83">
        <v>26</v>
      </c>
    </row>
    <row r="39" ht="14.65" customHeight="1">
      <c r="A39" s="1683"/>
      <c r="C39" s="96"/>
      <c r="D39" s="147" t="s">
        <v>886</v>
      </c>
      <c r="E39" s="206" t="s">
        <v>1133</v>
      </c>
      <c r="F39" s="198"/>
      <c r="G39" s="207"/>
      <c r="H39" s="198" t="s">
        <v>308</v>
      </c>
      <c r="I39" s="2169" t="s">
        <v>1146</v>
      </c>
      <c r="L39" s="155" t="s">
        <v>1134</v>
      </c>
      <c r="M39" s="83">
        <v>14</v>
      </c>
    </row>
    <row r="40" ht="15.75" customHeight="1">
      <c r="A40" s="1683" t="s">
        <v>111</v>
      </c>
      <c r="C40" s="96"/>
      <c r="D40" s="109"/>
      <c r="E40" s="204" t="s">
        <v>324</v>
      </c>
      <c r="F40" s="200"/>
      <c r="G40" s="200"/>
      <c r="H40" s="201"/>
      <c r="I40" s="2171"/>
      <c r="M40" s="83">
        <v>15</v>
      </c>
    </row>
    <row r="41" s="1823" customFormat="1" ht="3" customHeight="1">
      <c r="A41" s="1683"/>
      <c r="K41" s="196"/>
      <c r="L41" s="196"/>
      <c r="M41" s="140">
        <v>3</v>
      </c>
    </row>
    <row r="42" ht="26.25" customHeight="1">
      <c r="D42" s="1681" t="s">
        <v>806</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 xml:space="preserve">Информация размещается в случае, если организация осуществляет услуги по подключению (технологическому присоединению) к системе водоотведения.</v>
      </c>
      <c r="F42" s="2285"/>
      <c r="G42" s="2285"/>
      <c r="H42" s="2285"/>
      <c r="I42" s="2285"/>
      <c r="M42" s="83">
        <v>25</v>
      </c>
    </row>
    <row r="43" ht="22.5" hidden="1" customHeight="1">
      <c r="A43" s="1362" t="s">
        <v>81</v>
      </c>
      <c r="B43" s="146">
        <v>0</v>
      </c>
      <c r="C43" s="97">
        <v>3</v>
      </c>
      <c r="D43" s="83">
        <v>6</v>
      </c>
      <c r="E43" s="83">
        <v>63</v>
      </c>
      <c r="F43" s="83">
        <v>0</v>
      </c>
      <c r="G43" s="83">
        <v>35</v>
      </c>
      <c r="H43" s="83">
        <v>35</v>
      </c>
      <c r="I43" s="83">
        <v>91</v>
      </c>
      <c r="J43" s="83">
        <v>68</v>
      </c>
      <c r="K43" s="155">
        <v>10</v>
      </c>
      <c r="L43" s="155">
        <v>10</v>
      </c>
      <c r="M43" s="83">
        <v>23</v>
      </c>
    </row>
  </sheetData>
  <sheetProtection autoFilter="0" deleteColumns="0" deleteRows="0" formatColumns="0" formatRows="0" insertColumns="1" insertRows="0" sort="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1">
    <dataValidation sqref="G22" allowBlank="1" prompt="Выберите дату из календаря (иконка справа от указанной ячейки), либо введите дату непосредственно в ячейку в формате - 'ДД.ММ.ГГГГ'." showErrorMessage="1" showInputMessage="1"/>
  </dataValidations>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drawing r:id="rId1"/>
  <extLst>
    <ext xmlns:x14="http://schemas.microsoft.com/office/spreadsheetml/2009/9/main" uri="{CCE6A557-97BC-4b89-ADB6-D9C93CAAB3DF}">
      <x14:dataValidations xmlns:xm="http://schemas.microsoft.com/office/excel/2006/main" count="3">
        <x14:dataValidation xr:uid="{006500F2-00A2-4FDD-AAE5-006200540079}" type="textLength" allowBlank="1" error="Допускается ввод не более 900 символов!" errorTitle="Ошибка" operator="lessThanOrEqual" showErrorMessage="1" showInputMessage="1">
          <x14:formula1>
            <xm:f>900</xm:f>
          </x14:formula1>
          <xm:sqref>I23:I24 I33 G36 I39 I26 E29 G33 E36 I29 E33 I36 G23 E26 I10 E23 G29 E10 G8 E2 I2 I4 G4 E4 E6 I6 G6 E8 I8 E39</xm:sqref>
        </x14:dataValidation>
        <x14:dataValidation xr:uid="{005E000C-00EE-4C5E-A968-00B7006300C3}" type="textLength" allowBlank="1" error="Допускается ввод не более 900 символов!" errorTitle="Ошибка" operator="lessThanOrEqual" prompt="Введите ссылку на обосновывающие материалы, загруженные с помощью &quot;ЕИАС Web&quot;." showErrorMessage="1" showInputMessage="1">
          <x14:formula1>
            <xm:f>900</xm:f>
          </x14:formula1>
          <xm:sqref>H26 H23:H24 H2</xm:sqref>
        </x14:dataValidation>
        <x14:dataValidation xr:uid="{00B20097-00B8-4C7E-9E68-00C400C3007A}" type="list" allowBlank="1" error="для выбора выполните двойной щелчок по ячейке" prompt="Для выбора выполните двойной щелчок левой клавиши мыши по соответствующей ячейке." showDropDown="1" showErrorMessage="1" showInputMessage="1">
          <x14:formula1>
            <xm:f>"a"</xm:f>
          </x14:formula1>
          <xm:sqref>G10 G39</xm:sqref>
        </x14:dataValidation>
      </x14:dataValidations>
    </ext>
  </extLst>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sheetPr>
  <sheetViews>
    <sheetView showGridLines="0" topLeftCell="A1" zoomScale="90" workbookViewId="0">
      <selection activeCell="A1" sqref="A1"/>
    </sheetView>
  </sheetViews>
  <sheetFormatPr defaultColWidth="10.57421875" defaultRowHeight="14.25" customHeight="1"/>
  <cols>
    <col customWidth="1" hidden="1" min="1" max="2" style="1779" width="25.140625"/>
    <col customWidth="1" hidden="1" min="3" max="3" style="1687" width="9.140625"/>
    <col customWidth="1" min="4" max="4" style="344" width="3.00390625"/>
    <col customWidth="1" min="5" max="5" style="1635" width="6.00390625"/>
    <col customWidth="1" min="6" max="6" style="1635" width="46.7109375"/>
    <col customWidth="1" min="7" max="7" style="1635" width="35.00390625"/>
    <col customWidth="1" min="8" max="8" style="1635" width="3.00390625"/>
    <col customWidth="1" min="9" max="10" style="1635" width="11.00390625"/>
    <col customWidth="1" min="11" max="12" style="1635" width="35.00390625"/>
    <col customWidth="1" min="13" max="13" style="1635" width="84.00390625"/>
    <col customWidth="1" min="14" max="14" style="1635" width="10.00390625"/>
    <col customWidth="1" min="15" max="16" style="1624" width="10.00390625"/>
    <col customWidth="1" min="17" max="33" style="1635" width="10.00390625"/>
    <col hidden="1" min="34" max="34" style="1635" width="10.57421875"/>
  </cols>
  <sheetData>
    <row r="1" s="1635" customFormat="1" ht="22.5" hidden="1" customHeight="1">
      <c r="A1" s="1779"/>
      <c r="B1" s="1779"/>
      <c r="C1" s="369"/>
      <c r="D1" s="344"/>
      <c r="N1" s="1636">
        <f>_xlfn.IFERROR(MATCH("метод экономически обоснованных расходов (затрат)",OFFER_METHOD,0),0)</f>
        <v>0</v>
      </c>
      <c r="O1" s="1624"/>
      <c r="P1" s="1624"/>
      <c r="T1" s="831"/>
      <c r="AG1" s="255"/>
      <c r="AH1" s="1631" t="s">
        <v>14</v>
      </c>
    </row>
    <row r="2" s="1635" customFormat="1" ht="18.75" hidden="1" customHeight="1">
      <c r="A2" s="1780" t="s">
        <v>159</v>
      </c>
      <c r="B2" s="1780" t="s">
        <v>160</v>
      </c>
      <c r="C2" s="369"/>
      <c r="D2" s="344"/>
      <c r="E2" s="1031"/>
      <c r="F2" s="1031"/>
      <c r="G2" s="2427" t="str">
        <f>INDEX(PT_DIFFERENTIATION_NTAR,MATCH(B2,PT_DIFFERENTIATION_NTAR_ID,0))</f>
        <v/>
      </c>
      <c r="H2" s="1864"/>
      <c r="I2" s="1739"/>
      <c r="J2" s="1773"/>
      <c r="K2" s="1865"/>
      <c r="L2" s="1864" t="s">
        <v>308</v>
      </c>
      <c r="M2" s="1875"/>
      <c r="N2" s="334"/>
      <c r="O2" s="1624"/>
      <c r="P2" s="1624"/>
      <c r="AH2" s="1631">
        <v>0</v>
      </c>
    </row>
    <row r="3" s="1635" customFormat="1" ht="18.75" hidden="1" customHeight="1">
      <c r="A3" s="1780"/>
      <c r="B3" s="1780"/>
      <c r="C3" s="369" t="s">
        <v>1147</v>
      </c>
      <c r="D3" s="344"/>
      <c r="E3" s="1031"/>
      <c r="F3" s="1031"/>
      <c r="G3" s="2427"/>
      <c r="H3" s="1500"/>
      <c r="I3" s="651" t="s">
        <v>1148</v>
      </c>
      <c r="J3" s="571"/>
      <c r="K3" s="1500"/>
      <c r="L3" s="214"/>
      <c r="M3" s="1875"/>
      <c r="N3" s="334"/>
      <c r="O3" s="1624"/>
      <c r="P3" s="1624"/>
      <c r="AH3" s="1631">
        <v>0</v>
      </c>
    </row>
    <row r="4" s="1635" customFormat="1" ht="14.25" hidden="1" customHeight="1">
      <c r="A4" s="1779"/>
      <c r="B4" s="1779"/>
      <c r="C4" s="369"/>
      <c r="D4" s="344"/>
      <c r="N4" s="1636">
        <f>_xlfn.IFERROR(MATCH("метод экономически обоснованных расходов (затрат)",OFFER_METHOD,0),0)</f>
        <v>0</v>
      </c>
      <c r="O4" s="1624"/>
      <c r="P4" s="1624"/>
      <c r="T4" s="831"/>
      <c r="AG4" s="255"/>
      <c r="AH4" s="1631">
        <v>0</v>
      </c>
    </row>
    <row r="5" s="1635" customFormat="1" ht="18.75" hidden="1" customHeight="1">
      <c r="A5" s="1780" t="s">
        <v>159</v>
      </c>
      <c r="B5" s="1780" t="s">
        <v>160</v>
      </c>
      <c r="C5" s="369"/>
      <c r="D5" s="344"/>
      <c r="E5" s="1031"/>
      <c r="F5" s="1031"/>
      <c r="G5" s="2427" t="str">
        <f>INDEX(PT_DIFFERENTIATION_NTAR,MATCH(B5,PT_DIFFERENTIATION_NTAR_ID,0))</f>
        <v/>
      </c>
      <c r="H5" s="1864"/>
      <c r="I5" s="1739"/>
      <c r="J5" s="1773"/>
      <c r="K5" s="1778"/>
      <c r="L5" s="1864" t="s">
        <v>308</v>
      </c>
      <c r="M5" s="1875"/>
      <c r="N5" s="334"/>
      <c r="O5" s="1624"/>
      <c r="P5" s="1624"/>
      <c r="AH5" s="1631">
        <v>0</v>
      </c>
    </row>
    <row r="6" s="1635" customFormat="1" ht="18.75" hidden="1" customHeight="1">
      <c r="A6" s="1780"/>
      <c r="B6" s="1780"/>
      <c r="C6" s="369" t="s">
        <v>1149</v>
      </c>
      <c r="D6" s="344"/>
      <c r="E6" s="1031"/>
      <c r="F6" s="1031"/>
      <c r="G6" s="2427"/>
      <c r="H6" s="1500"/>
      <c r="I6" s="651" t="s">
        <v>1148</v>
      </c>
      <c r="J6" s="571"/>
      <c r="K6" s="1500"/>
      <c r="L6" s="214"/>
      <c r="M6" s="1875"/>
      <c r="N6" s="334"/>
      <c r="O6" s="1624"/>
      <c r="P6" s="1624"/>
      <c r="AH6" s="1631">
        <v>0</v>
      </c>
    </row>
    <row r="7" s="1635" customFormat="1" ht="14.25" hidden="1" customHeight="1">
      <c r="A7" s="1779"/>
      <c r="B7" s="1779"/>
      <c r="C7" s="369"/>
      <c r="D7" s="344"/>
      <c r="N7" s="1636">
        <f>_xlfn.IFERROR(MATCH("метод экономически обоснованных расходов (затрат)",OFFER_METHOD,0),0)</f>
        <v>0</v>
      </c>
      <c r="O7" s="1624"/>
      <c r="P7" s="1624"/>
      <c r="T7" s="831"/>
      <c r="AG7" s="255"/>
      <c r="AH7" s="1631">
        <v>0</v>
      </c>
    </row>
    <row r="8" s="1635" customFormat="1" ht="56.25" hidden="1" customHeight="1">
      <c r="A8" s="1780"/>
      <c r="B8" s="1780"/>
      <c r="C8" s="369"/>
      <c r="D8" s="344"/>
      <c r="E8" s="1031"/>
      <c r="F8" s="1031"/>
      <c r="G8" s="1031"/>
      <c r="H8" s="1771"/>
      <c r="I8" s="1739"/>
      <c r="J8" s="1773"/>
      <c r="K8" s="1865"/>
      <c r="L8" s="1771" t="s">
        <v>308</v>
      </c>
      <c r="M8" s="1875"/>
      <c r="N8" s="334"/>
      <c r="O8" s="1624"/>
      <c r="P8" s="1624"/>
      <c r="AH8" s="1631">
        <v>0</v>
      </c>
    </row>
    <row r="9" ht="14.25" hidden="1" customHeight="1">
      <c r="T9" s="397"/>
      <c r="AG9" s="255"/>
      <c r="AH9" s="374">
        <v>0</v>
      </c>
    </row>
    <row r="10" s="1635" customFormat="1" ht="56.25" hidden="1" customHeight="1">
      <c r="A10" s="1780"/>
      <c r="B10" s="1780"/>
      <c r="C10" s="369"/>
      <c r="D10" s="344"/>
      <c r="E10" s="1031"/>
      <c r="F10" s="1031"/>
      <c r="G10" s="1031"/>
      <c r="H10" s="1770"/>
      <c r="I10" s="1739"/>
      <c r="J10" s="1773"/>
      <c r="K10" s="1778"/>
      <c r="L10" s="1771" t="s">
        <v>308</v>
      </c>
      <c r="M10" s="1875"/>
      <c r="N10" s="334"/>
      <c r="O10" s="1624"/>
      <c r="P10" s="1624"/>
      <c r="AH10" s="1631">
        <v>0</v>
      </c>
    </row>
    <row r="11" ht="14.25" hidden="1" customHeight="1">
      <c r="AH11" s="374">
        <v>0</v>
      </c>
    </row>
    <row r="12" ht="14.25" hidden="1" customHeight="1">
      <c r="AH12" s="374">
        <v>0</v>
      </c>
    </row>
    <row r="13" ht="6.2999999999999998" customHeight="1">
      <c r="D13" s="376"/>
      <c r="E13" s="363"/>
      <c r="F13" s="363"/>
      <c r="G13" s="363"/>
      <c r="H13" s="363"/>
      <c r="I13" s="363"/>
      <c r="J13" s="363"/>
      <c r="K13" s="363"/>
      <c r="L13" s="85"/>
      <c r="M13" s="85"/>
      <c r="AH13" s="374">
        <v>6</v>
      </c>
    </row>
    <row r="14" ht="14.65" customHeight="1">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 xml:space="preserve">Форма 12. Информация о предложении организации водоотведения об установлении тарифов в сфере водоотведения на очередной период регулирования</v>
      </c>
      <c r="F14" s="2465"/>
      <c r="G14" s="2465"/>
      <c r="H14" s="2465"/>
      <c r="I14" s="2465"/>
      <c r="J14" s="2465"/>
      <c r="K14" s="2465"/>
      <c r="L14" s="2465"/>
      <c r="M14" s="220"/>
      <c r="AH14" s="374">
        <v>14</v>
      </c>
    </row>
    <row r="15" ht="6.2999999999999998" customHeight="1">
      <c r="D15" s="376"/>
      <c r="E15" s="363"/>
      <c r="F15" s="389"/>
      <c r="G15" s="389"/>
      <c r="H15" s="389"/>
      <c r="I15" s="389"/>
      <c r="J15" s="389"/>
      <c r="K15" s="389"/>
      <c r="L15" s="322"/>
      <c r="M15" s="193"/>
      <c r="AH15" s="374">
        <v>6</v>
      </c>
    </row>
    <row r="16" ht="24" customHeight="1">
      <c r="D16" s="376"/>
      <c r="E16" s="363"/>
      <c r="F16" s="305" t="str">
        <f>"Дата подачи заявления об "&amp;IF(TITLE_DATE_PR_CHANGE="","утверждении","изменении")&amp;" тарифов"</f>
        <v xml:space="preserve">Дата подачи заявления об утверждении тарифов</v>
      </c>
      <c r="G16" s="2264" t="str">
        <f>IF(TITLE_DATE_PR_CHANGE="",IF(TITLE_DATE_PR="","",TITLE_DATE_PR),TITLE_DATE_PR_CHANGE)</f>
        <v/>
      </c>
      <c r="H16" s="2264"/>
      <c r="I16" s="2264"/>
      <c r="J16" s="2264"/>
      <c r="K16" s="2264"/>
      <c r="L16" s="2264"/>
      <c r="M16" s="398"/>
      <c r="N16" s="326"/>
      <c r="AH16" s="374">
        <v>23</v>
      </c>
    </row>
    <row r="17" ht="24" customHeight="1">
      <c r="D17" s="376"/>
      <c r="E17" s="363"/>
      <c r="F17" s="305" t="str">
        <f>"Номер подачи заявления об "&amp;IF(TITLE_DATE_PR_CHANGE="","утверждении","изменении")&amp;" тарифов"</f>
        <v xml:space="preserve">Номер подачи заявления об утверждении тарифов</v>
      </c>
      <c r="G17" s="2251" t="str">
        <f>IF(TITLE_NUMBER_PR_CHANGE="",IF(TITLE_NUMBER_PR="","",TITLE_NUMBER_PR),TITLE_NUMBER_PR_CHANGE)</f>
        <v/>
      </c>
      <c r="H17" s="2251"/>
      <c r="I17" s="2251"/>
      <c r="J17" s="2251"/>
      <c r="K17" s="2251"/>
      <c r="L17" s="2251"/>
      <c r="M17" s="398"/>
      <c r="N17" s="326"/>
      <c r="AH17" s="374">
        <v>23</v>
      </c>
    </row>
    <row r="18" ht="14.65" customHeight="1">
      <c r="D18" s="376"/>
      <c r="E18" s="363"/>
      <c r="F18" s="389"/>
      <c r="G18" s="389"/>
      <c r="H18" s="389"/>
      <c r="I18" s="389"/>
      <c r="J18" s="389"/>
      <c r="K18" s="389"/>
      <c r="L18" s="752"/>
      <c r="M18" s="193"/>
      <c r="AH18" s="374">
        <v>14</v>
      </c>
    </row>
    <row r="19" ht="22" customHeight="1">
      <c r="D19" s="376"/>
      <c r="E19" s="2209" t="s">
        <v>302</v>
      </c>
      <c r="F19" s="2209"/>
      <c r="G19" s="2209"/>
      <c r="H19" s="2209"/>
      <c r="I19" s="2209"/>
      <c r="J19" s="2209"/>
      <c r="K19" s="2209"/>
      <c r="L19" s="2209"/>
      <c r="M19" s="2389" t="s">
        <v>303</v>
      </c>
      <c r="AH19" s="374">
        <v>21</v>
      </c>
    </row>
    <row r="20" ht="22" customHeight="1">
      <c r="D20" s="376"/>
      <c r="E20" s="2277" t="s">
        <v>87</v>
      </c>
      <c r="F20" s="2224" t="s">
        <v>126</v>
      </c>
      <c r="G20" s="2224" t="s">
        <v>127</v>
      </c>
      <c r="H20" s="2386" t="s">
        <v>1150</v>
      </c>
      <c r="I20" s="2387"/>
      <c r="J20" s="2433"/>
      <c r="K20" s="2224" t="s">
        <v>305</v>
      </c>
      <c r="L20" s="2224" t="s">
        <v>392</v>
      </c>
      <c r="M20" s="2389"/>
      <c r="AH20" s="374">
        <v>21</v>
      </c>
    </row>
    <row r="21" ht="22" customHeight="1">
      <c r="D21" s="376"/>
      <c r="E21" s="2279"/>
      <c r="F21" s="2225"/>
      <c r="G21" s="2225"/>
      <c r="H21" s="2218" t="s">
        <v>1151</v>
      </c>
      <c r="I21" s="2220"/>
      <c r="J21" s="108" t="s">
        <v>1152</v>
      </c>
      <c r="K21" s="2225"/>
      <c r="L21" s="2225"/>
      <c r="M21" s="2389"/>
      <c r="AH21" s="374">
        <v>21</v>
      </c>
    </row>
    <row r="22" ht="12.75" customHeight="1">
      <c r="D22" s="376"/>
      <c r="E22" s="281"/>
      <c r="F22" s="281"/>
      <c r="G22" s="281"/>
      <c r="H22" s="2467"/>
      <c r="I22" s="2467"/>
      <c r="J22" s="281"/>
      <c r="K22" s="281"/>
      <c r="L22" s="281"/>
      <c r="M22" s="281"/>
      <c r="AH22" s="374">
        <v>12</v>
      </c>
    </row>
    <row r="23" ht="19.949999999999999" customHeight="1">
      <c r="A23" s="1780"/>
      <c r="B23" s="1780"/>
      <c r="D23" s="376"/>
      <c r="E23" s="1866" t="s">
        <v>109</v>
      </c>
      <c r="F23" s="2468" t="str">
        <f>"Предлагаемый метод регулирования"&amp;IF(TEMPLATE_SPHERE="HEAT"," в сфере "&amp;TEMPLATE_SPHERE_RUS,"")</f>
        <v xml:space="preserve">Предлагаемый метод регулирования</v>
      </c>
      <c r="G23" s="2469"/>
      <c r="H23" s="2461"/>
      <c r="I23" s="2461"/>
      <c r="J23" s="2461"/>
      <c r="K23" s="2469" t="s">
        <v>308</v>
      </c>
      <c r="L23" s="2461"/>
      <c r="M23" s="1769"/>
      <c r="N23" s="334"/>
      <c r="AH23" s="374">
        <v>19</v>
      </c>
    </row>
    <row r="24" ht="60.75" hidden="1" customHeight="1">
      <c r="A24" s="1780" t="s">
        <v>159</v>
      </c>
      <c r="B24" s="1780" t="s">
        <v>160</v>
      </c>
      <c r="D24" s="2466"/>
      <c r="E24" s="2204"/>
      <c r="F24" s="2470" t="str">
        <f>INDEX(PT_DIFFERENTIATION_VTAR,MATCH(A24,PT_DIFFERENTIATION_VTAR_ID,0))</f>
        <v xml:space="preserve">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308</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 xml:space="preserve">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r="25" s="1635" customFormat="1" ht="18.75" hidden="1" customHeight="1">
      <c r="A25" s="1780"/>
      <c r="B25" s="1780"/>
      <c r="C25" s="369" t="s">
        <v>1147</v>
      </c>
      <c r="D25" s="2466"/>
      <c r="E25" s="2204"/>
      <c r="F25" s="2470"/>
      <c r="G25" s="2427"/>
      <c r="H25" s="1500"/>
      <c r="I25" s="651" t="s">
        <v>1148</v>
      </c>
      <c r="J25" s="571"/>
      <c r="K25" s="1500"/>
      <c r="L25" s="214"/>
      <c r="M25" s="2170"/>
      <c r="N25" s="334"/>
      <c r="O25" s="1624"/>
      <c r="P25" s="1624"/>
      <c r="AH25" s="1631">
        <v>0</v>
      </c>
    </row>
    <row r="26" ht="0.75" hidden="1" customHeight="1">
      <c r="A26" s="1780"/>
      <c r="B26" s="1780"/>
      <c r="C26" s="369" t="s">
        <v>1153</v>
      </c>
      <c r="D26" s="2466"/>
      <c r="E26" s="2204"/>
      <c r="F26" s="2383"/>
      <c r="G26" s="400"/>
      <c r="H26" s="1500"/>
      <c r="I26" s="395"/>
      <c r="J26" s="349"/>
      <c r="K26" s="1500"/>
      <c r="L26" s="201"/>
      <c r="M26" s="2170"/>
      <c r="N26" s="334"/>
      <c r="AH26" s="374">
        <v>0</v>
      </c>
    </row>
    <row r="27" s="1635" customFormat="1" ht="45" hidden="1" customHeight="1">
      <c r="A27" s="1780" t="s">
        <v>164</v>
      </c>
      <c r="B27" s="1780" t="s">
        <v>165</v>
      </c>
      <c r="C27" s="369"/>
      <c r="D27" s="2462"/>
      <c r="E27" s="2463"/>
      <c r="F27" s="2464" t="str">
        <f>INDEX(PT_DIFFERENTIATION_VTAR,MATCH(A27,PT_DIFFERENTIATION_VTAR_ID,0))</f>
        <v/>
      </c>
      <c r="G27" s="2427" t="str">
        <f>INDEX(PT_DIFFERENTIATION_NTAR,MATCH(B27,PT_DIFFERENTIATION_NTAR_ID,0))</f>
        <v/>
      </c>
      <c r="H27" s="1862"/>
      <c r="I27" s="1739"/>
      <c r="J27" s="1773"/>
      <c r="K27" s="1865"/>
      <c r="L27" s="1862" t="s">
        <v>308</v>
      </c>
      <c r="M27" s="2170"/>
      <c r="N27" s="334"/>
      <c r="O27" s="1624"/>
      <c r="P27" s="1624"/>
      <c r="AH27" s="1631">
        <v>0</v>
      </c>
    </row>
    <row r="28" s="1635" customFormat="1" ht="18.75" hidden="1" customHeight="1">
      <c r="A28" s="1780"/>
      <c r="B28" s="1780"/>
      <c r="C28" s="369" t="s">
        <v>1147</v>
      </c>
      <c r="D28" s="2462"/>
      <c r="E28" s="2463"/>
      <c r="F28" s="2464"/>
      <c r="G28" s="2427"/>
      <c r="H28" s="1500"/>
      <c r="I28" s="651" t="s">
        <v>1148</v>
      </c>
      <c r="J28" s="571"/>
      <c r="K28" s="1500"/>
      <c r="L28" s="214"/>
      <c r="M28" s="2170"/>
      <c r="N28" s="334"/>
      <c r="O28" s="1624"/>
      <c r="P28" s="1624"/>
      <c r="AH28" s="1631">
        <v>0</v>
      </c>
    </row>
    <row r="29" s="1635" customFormat="1" ht="0.75" hidden="1" customHeight="1">
      <c r="A29" s="1780"/>
      <c r="B29" s="1780"/>
      <c r="C29" s="369" t="s">
        <v>1153</v>
      </c>
      <c r="D29" s="2462"/>
      <c r="E29" s="2204"/>
      <c r="F29" s="2383"/>
      <c r="G29" s="400"/>
      <c r="H29" s="1500"/>
      <c r="I29" s="651"/>
      <c r="J29" s="571"/>
      <c r="K29" s="1500"/>
      <c r="L29" s="214"/>
      <c r="M29" s="2170"/>
      <c r="N29" s="334"/>
      <c r="O29" s="1624"/>
      <c r="P29" s="1624"/>
      <c r="AH29" s="1631">
        <v>0</v>
      </c>
    </row>
    <row r="30" s="1635" customFormat="1" ht="45" hidden="1" customHeight="1">
      <c r="A30" s="1780" t="s">
        <v>171</v>
      </c>
      <c r="B30" s="1780" t="s">
        <v>172</v>
      </c>
      <c r="C30" s="369"/>
      <c r="D30" s="2462"/>
      <c r="E30" s="2204"/>
      <c r="F30" s="2383" t="str">
        <f>INDEX(PT_DIFFERENTIATION_VTAR,MATCH(A30,PT_DIFFERENTIATION_VTAR_ID,0))</f>
        <v xml:space="preserve">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308</v>
      </c>
      <c r="M30" s="2170"/>
      <c r="N30" s="334"/>
      <c r="O30" s="1624"/>
      <c r="P30" s="1624"/>
      <c r="AH30" s="1631">
        <v>0</v>
      </c>
    </row>
    <row r="31" s="1635" customFormat="1" ht="18.75" hidden="1" customHeight="1">
      <c r="A31" s="1780"/>
      <c r="B31" s="1780"/>
      <c r="C31" s="369" t="s">
        <v>1147</v>
      </c>
      <c r="D31" s="2462"/>
      <c r="E31" s="2204"/>
      <c r="F31" s="2383"/>
      <c r="G31" s="2427"/>
      <c r="H31" s="1500"/>
      <c r="I31" s="651" t="s">
        <v>1148</v>
      </c>
      <c r="J31" s="571"/>
      <c r="K31" s="1500"/>
      <c r="L31" s="214"/>
      <c r="M31" s="2170"/>
      <c r="N31" s="334"/>
      <c r="O31" s="1624"/>
      <c r="P31" s="1624"/>
      <c r="AH31" s="1631">
        <v>0</v>
      </c>
    </row>
    <row r="32" s="1635" customFormat="1" ht="0.75" hidden="1" customHeight="1">
      <c r="A32" s="1780"/>
      <c r="B32" s="1780"/>
      <c r="C32" s="369" t="s">
        <v>1153</v>
      </c>
      <c r="D32" s="2462"/>
      <c r="E32" s="2204"/>
      <c r="F32" s="2383"/>
      <c r="G32" s="400"/>
      <c r="H32" s="1500"/>
      <c r="I32" s="651"/>
      <c r="J32" s="571"/>
      <c r="K32" s="1500"/>
      <c r="L32" s="214"/>
      <c r="M32" s="2170"/>
      <c r="N32" s="334"/>
      <c r="O32" s="1624"/>
      <c r="P32" s="1624"/>
      <c r="AH32" s="1631">
        <v>0</v>
      </c>
    </row>
    <row r="33" s="1635" customFormat="1" ht="45" hidden="1" customHeight="1">
      <c r="A33" s="1780" t="s">
        <v>177</v>
      </c>
      <c r="B33" s="1780" t="s">
        <v>178</v>
      </c>
      <c r="C33" s="369"/>
      <c r="D33" s="2462"/>
      <c r="E33" s="2204"/>
      <c r="F33" s="2383" t="str">
        <f>INDEX(PT_DIFFERENTIATION_VTAR,MATCH(A33,PT_DIFFERENTIATION_VTAR_ID,0))</f>
        <v xml:space="preserve">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308</v>
      </c>
      <c r="M33" s="2170"/>
      <c r="N33" s="334"/>
      <c r="O33" s="1624"/>
      <c r="P33" s="1624"/>
      <c r="AH33" s="1631">
        <v>0</v>
      </c>
    </row>
    <row r="34" s="1635" customFormat="1" ht="18.75" hidden="1" customHeight="1">
      <c r="A34" s="1780"/>
      <c r="B34" s="1780"/>
      <c r="C34" s="369" t="s">
        <v>1147</v>
      </c>
      <c r="D34" s="2462"/>
      <c r="E34" s="2204"/>
      <c r="F34" s="2383"/>
      <c r="G34" s="2427"/>
      <c r="H34" s="1500"/>
      <c r="I34" s="651" t="s">
        <v>1148</v>
      </c>
      <c r="J34" s="571"/>
      <c r="K34" s="1500"/>
      <c r="L34" s="214"/>
      <c r="M34" s="2170"/>
      <c r="N34" s="334"/>
      <c r="O34" s="1624"/>
      <c r="P34" s="1624"/>
      <c r="AH34" s="1631">
        <v>0</v>
      </c>
    </row>
    <row r="35" s="1635" customFormat="1" ht="0.75" hidden="1" customHeight="1">
      <c r="A35" s="1780"/>
      <c r="B35" s="1780"/>
      <c r="C35" s="369" t="s">
        <v>1153</v>
      </c>
      <c r="D35" s="2462"/>
      <c r="E35" s="2204"/>
      <c r="F35" s="2383"/>
      <c r="G35" s="400"/>
      <c r="H35" s="1500"/>
      <c r="I35" s="651"/>
      <c r="J35" s="571"/>
      <c r="K35" s="1500"/>
      <c r="L35" s="214"/>
      <c r="M35" s="2170"/>
      <c r="N35" s="334"/>
      <c r="O35" s="1624"/>
      <c r="P35" s="1624"/>
      <c r="AH35" s="1631">
        <v>0</v>
      </c>
    </row>
    <row r="36" s="1635" customFormat="1" ht="18.75" hidden="1" customHeight="1">
      <c r="A36" s="1780" t="s">
        <v>183</v>
      </c>
      <c r="B36" s="1780" t="s">
        <v>184</v>
      </c>
      <c r="C36" s="369"/>
      <c r="D36" s="2462"/>
      <c r="E36" s="2204"/>
      <c r="F36" s="2383" t="str">
        <f>INDEX(PT_DIFFERENTIATION_VTAR,MATCH(A36,PT_DIFFERENTIATION_VTAR_ID,0))</f>
        <v xml:space="preserve">Тарифы на услуги по передаче тепловой энергии</v>
      </c>
      <c r="G36" s="2427" t="str">
        <f>INDEX(PT_DIFFERENTIATION_NTAR,MATCH(B36,PT_DIFFERENTIATION_NTAR_ID,0))</f>
        <v/>
      </c>
      <c r="H36" s="1862"/>
      <c r="I36" s="1739"/>
      <c r="J36" s="1773"/>
      <c r="K36" s="1865"/>
      <c r="L36" s="1862" t="s">
        <v>308</v>
      </c>
      <c r="M36" s="2170"/>
      <c r="N36" s="334"/>
      <c r="O36" s="1624"/>
      <c r="P36" s="1624"/>
      <c r="AH36" s="1631">
        <v>0</v>
      </c>
    </row>
    <row r="37" s="1635" customFormat="1" ht="18.75" hidden="1" customHeight="1">
      <c r="A37" s="1780"/>
      <c r="B37" s="1780"/>
      <c r="C37" s="369" t="s">
        <v>1147</v>
      </c>
      <c r="D37" s="2462"/>
      <c r="E37" s="2204"/>
      <c r="F37" s="2383"/>
      <c r="G37" s="2427"/>
      <c r="H37" s="1500"/>
      <c r="I37" s="651" t="s">
        <v>1148</v>
      </c>
      <c r="J37" s="571"/>
      <c r="K37" s="1500"/>
      <c r="L37" s="214"/>
      <c r="M37" s="2170"/>
      <c r="N37" s="334"/>
      <c r="O37" s="1624"/>
      <c r="P37" s="1624"/>
      <c r="AH37" s="1631">
        <v>0</v>
      </c>
    </row>
    <row r="38" s="1635" customFormat="1" ht="0.75" hidden="1" customHeight="1">
      <c r="A38" s="1780"/>
      <c r="B38" s="1780"/>
      <c r="C38" s="369" t="s">
        <v>1153</v>
      </c>
      <c r="D38" s="2462"/>
      <c r="E38" s="2204"/>
      <c r="F38" s="2383"/>
      <c r="G38" s="400"/>
      <c r="H38" s="1500"/>
      <c r="I38" s="651"/>
      <c r="J38" s="571"/>
      <c r="K38" s="1500"/>
      <c r="L38" s="214"/>
      <c r="M38" s="2170"/>
      <c r="N38" s="334"/>
      <c r="O38" s="1624"/>
      <c r="P38" s="1624"/>
      <c r="AH38" s="1631">
        <v>0</v>
      </c>
    </row>
    <row r="39" s="1635" customFormat="1" ht="18.75" hidden="1" customHeight="1">
      <c r="A39" s="1780" t="s">
        <v>189</v>
      </c>
      <c r="B39" s="1780" t="s">
        <v>190</v>
      </c>
      <c r="C39" s="369"/>
      <c r="D39" s="2462"/>
      <c r="E39" s="2204"/>
      <c r="F39" s="2383" t="str">
        <f>INDEX(PT_DIFFERENTIATION_VTAR,MATCH(A39,PT_DIFFERENTIATION_VTAR_ID,0))</f>
        <v xml:space="preserve">Тарифы на услуги по передаче теплоносителя</v>
      </c>
      <c r="G39" s="2427" t="str">
        <f>INDEX(PT_DIFFERENTIATION_NTAR,MATCH(B39,PT_DIFFERENTIATION_NTAR_ID,0))</f>
        <v/>
      </c>
      <c r="H39" s="1862"/>
      <c r="I39" s="1739"/>
      <c r="J39" s="1773"/>
      <c r="K39" s="1865"/>
      <c r="L39" s="1862" t="s">
        <v>308</v>
      </c>
      <c r="M39" s="2170"/>
      <c r="N39" s="334"/>
      <c r="O39" s="1624"/>
      <c r="P39" s="1624"/>
      <c r="AH39" s="1631">
        <v>0</v>
      </c>
    </row>
    <row r="40" s="1635" customFormat="1" ht="18.75" hidden="1" customHeight="1">
      <c r="A40" s="1780"/>
      <c r="B40" s="1780"/>
      <c r="C40" s="369" t="s">
        <v>1147</v>
      </c>
      <c r="D40" s="2462"/>
      <c r="E40" s="2204"/>
      <c r="F40" s="2383"/>
      <c r="G40" s="2427"/>
      <c r="H40" s="1500"/>
      <c r="I40" s="651" t="s">
        <v>1148</v>
      </c>
      <c r="J40" s="571"/>
      <c r="K40" s="1500"/>
      <c r="L40" s="214"/>
      <c r="M40" s="2170"/>
      <c r="N40" s="334"/>
      <c r="O40" s="1624"/>
      <c r="P40" s="1624"/>
      <c r="AH40" s="1631">
        <v>0</v>
      </c>
    </row>
    <row r="41" s="1635" customFormat="1" ht="0.75" hidden="1" customHeight="1">
      <c r="A41" s="1780"/>
      <c r="B41" s="1780"/>
      <c r="C41" s="369" t="s">
        <v>1153</v>
      </c>
      <c r="D41" s="2462"/>
      <c r="E41" s="2204"/>
      <c r="F41" s="2383"/>
      <c r="G41" s="400"/>
      <c r="H41" s="1500"/>
      <c r="I41" s="651"/>
      <c r="J41" s="571"/>
      <c r="K41" s="1500"/>
      <c r="L41" s="214"/>
      <c r="M41" s="2170"/>
      <c r="N41" s="334"/>
      <c r="O41" s="1624"/>
      <c r="P41" s="1624"/>
      <c r="AH41" s="1631">
        <v>0</v>
      </c>
    </row>
    <row r="42" s="1635" customFormat="1" ht="18.75" hidden="1" customHeight="1">
      <c r="A42" s="1780" t="s">
        <v>195</v>
      </c>
      <c r="B42" s="1780" t="s">
        <v>196</v>
      </c>
      <c r="C42" s="369"/>
      <c r="D42" s="2462"/>
      <c r="E42" s="2204"/>
      <c r="F42" s="2383" t="str">
        <f>INDEX(PT_DIFFERENTIATION_VTAR,MATCH(A42,PT_DIFFERENTIATION_VTAR_ID,0))</f>
        <v xml:space="preserve">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308</v>
      </c>
      <c r="M42" s="2170"/>
      <c r="N42" s="334"/>
      <c r="O42" s="1624"/>
      <c r="P42" s="1624"/>
      <c r="AH42" s="1631">
        <v>0</v>
      </c>
    </row>
    <row r="43" s="1635" customFormat="1" ht="18.75" hidden="1" customHeight="1">
      <c r="A43" s="1780"/>
      <c r="B43" s="1780"/>
      <c r="C43" s="369" t="s">
        <v>1147</v>
      </c>
      <c r="D43" s="2462"/>
      <c r="E43" s="2204"/>
      <c r="F43" s="2383"/>
      <c r="G43" s="2427"/>
      <c r="H43" s="1500"/>
      <c r="I43" s="651" t="s">
        <v>1148</v>
      </c>
      <c r="J43" s="571"/>
      <c r="K43" s="1500"/>
      <c r="L43" s="214"/>
      <c r="M43" s="2170"/>
      <c r="N43" s="334"/>
      <c r="O43" s="1624"/>
      <c r="P43" s="1624"/>
      <c r="AH43" s="1631">
        <v>0</v>
      </c>
    </row>
    <row r="44" s="1635" customFormat="1" ht="0.75" hidden="1" customHeight="1">
      <c r="A44" s="1780"/>
      <c r="B44" s="1780"/>
      <c r="C44" s="369" t="s">
        <v>1153</v>
      </c>
      <c r="D44" s="2462"/>
      <c r="E44" s="2204"/>
      <c r="F44" s="2383"/>
      <c r="G44" s="400"/>
      <c r="H44" s="1500"/>
      <c r="I44" s="651"/>
      <c r="J44" s="571"/>
      <c r="K44" s="1500"/>
      <c r="L44" s="214"/>
      <c r="M44" s="2170"/>
      <c r="N44" s="334"/>
      <c r="O44" s="1624"/>
      <c r="P44" s="1624"/>
      <c r="AH44" s="1631">
        <v>0</v>
      </c>
    </row>
    <row r="45" s="1635" customFormat="1" ht="18.75" hidden="1" customHeight="1">
      <c r="A45" s="1780" t="s">
        <v>201</v>
      </c>
      <c r="B45" s="1780" t="s">
        <v>202</v>
      </c>
      <c r="C45" s="369"/>
      <c r="D45" s="2462"/>
      <c r="E45" s="2204"/>
      <c r="F45" s="2383" t="str">
        <f>INDEX(PT_DIFFERENTIATION_VTAR,MATCH(A45,PT_DIFFERENTIATION_VTAR_ID,0))</f>
        <v xml:space="preserve">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308</v>
      </c>
      <c r="M45" s="2170"/>
      <c r="N45" s="334"/>
      <c r="O45" s="1624"/>
      <c r="P45" s="1624"/>
      <c r="AH45" s="1631">
        <v>0</v>
      </c>
    </row>
    <row r="46" s="1635" customFormat="1" ht="18.75" hidden="1" customHeight="1">
      <c r="A46" s="1780"/>
      <c r="B46" s="1780"/>
      <c r="C46" s="369" t="s">
        <v>1147</v>
      </c>
      <c r="D46" s="2462"/>
      <c r="E46" s="2204"/>
      <c r="F46" s="2383"/>
      <c r="G46" s="2427"/>
      <c r="H46" s="1500"/>
      <c r="I46" s="651" t="s">
        <v>1148</v>
      </c>
      <c r="J46" s="571"/>
      <c r="K46" s="1500"/>
      <c r="L46" s="214"/>
      <c r="M46" s="2170"/>
      <c r="N46" s="334"/>
      <c r="O46" s="1624"/>
      <c r="P46" s="1624"/>
      <c r="AH46" s="1631">
        <v>0</v>
      </c>
    </row>
    <row r="47" s="1635" customFormat="1" ht="0.75" hidden="1" customHeight="1">
      <c r="A47" s="1780"/>
      <c r="B47" s="1780"/>
      <c r="C47" s="369" t="s">
        <v>1153</v>
      </c>
      <c r="D47" s="2462"/>
      <c r="E47" s="2204"/>
      <c r="F47" s="2383"/>
      <c r="G47" s="400"/>
      <c r="H47" s="1500"/>
      <c r="I47" s="651"/>
      <c r="J47" s="571"/>
      <c r="K47" s="1500"/>
      <c r="L47" s="214"/>
      <c r="M47" s="2170"/>
      <c r="N47" s="334"/>
      <c r="O47" s="1624"/>
      <c r="P47" s="1624"/>
      <c r="AH47" s="1631">
        <v>0</v>
      </c>
    </row>
    <row r="48" s="1635" customFormat="1" ht="18.75" hidden="1" customHeight="1">
      <c r="A48" s="1780" t="s">
        <v>207</v>
      </c>
      <c r="B48" s="1780" t="s">
        <v>208</v>
      </c>
      <c r="C48" s="369"/>
      <c r="D48" s="2462"/>
      <c r="E48" s="2204"/>
      <c r="F48" s="2383" t="str">
        <f>INDEX(PT_DIFFERENTIATION_VTAR,MATCH(A48,PT_DIFFERENTIATION_VTAR_ID,0))</f>
        <v xml:space="preserve">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308</v>
      </c>
      <c r="M48" s="2170"/>
      <c r="N48" s="334"/>
      <c r="O48" s="1624"/>
      <c r="P48" s="1624"/>
      <c r="AH48" s="1631">
        <v>0</v>
      </c>
    </row>
    <row r="49" s="1635" customFormat="1" ht="18.75" hidden="1" customHeight="1">
      <c r="A49" s="1780"/>
      <c r="B49" s="1780"/>
      <c r="C49" s="369" t="s">
        <v>1147</v>
      </c>
      <c r="D49" s="2462"/>
      <c r="E49" s="2204"/>
      <c r="F49" s="2383"/>
      <c r="G49" s="2427"/>
      <c r="H49" s="1500"/>
      <c r="I49" s="651" t="s">
        <v>1148</v>
      </c>
      <c r="J49" s="571"/>
      <c r="K49" s="1500"/>
      <c r="L49" s="214"/>
      <c r="M49" s="2170"/>
      <c r="N49" s="334"/>
      <c r="O49" s="1624"/>
      <c r="P49" s="1624"/>
      <c r="AH49" s="1631">
        <v>0</v>
      </c>
    </row>
    <row r="50" s="1635" customFormat="1" ht="0.75" hidden="1" customHeight="1">
      <c r="A50" s="1780"/>
      <c r="B50" s="1780"/>
      <c r="C50" s="369" t="s">
        <v>1153</v>
      </c>
      <c r="D50" s="2462"/>
      <c r="E50" s="2204"/>
      <c r="F50" s="2383"/>
      <c r="G50" s="400"/>
      <c r="H50" s="1500"/>
      <c r="I50" s="651"/>
      <c r="J50" s="571"/>
      <c r="K50" s="1500"/>
      <c r="L50" s="214"/>
      <c r="M50" s="2170"/>
      <c r="N50" s="334"/>
      <c r="O50" s="1624"/>
      <c r="P50" s="1624"/>
      <c r="AH50" s="1631">
        <v>0</v>
      </c>
    </row>
    <row r="51" s="1635" customFormat="1" ht="18.75" hidden="1" customHeight="1">
      <c r="A51" s="1780" t="s">
        <v>227</v>
      </c>
      <c r="B51" s="1780" t="s">
        <v>228</v>
      </c>
      <c r="C51" s="369"/>
      <c r="D51" s="2462"/>
      <c r="E51" s="2204"/>
      <c r="F51" s="2383" t="str">
        <f>INDEX(PT_DIFFERENTIATION_VTAR,MATCH(A51,PT_DIFFERENTIATION_VTAR_ID,0))</f>
        <v xml:space="preserve">Тариф на питьевую воду (питьевое водоснабжение)</v>
      </c>
      <c r="G51" s="2427" t="str">
        <f>INDEX(PT_DIFFERENTIATION_NTAR,MATCH(B51,PT_DIFFERENTIATION_NTAR_ID,0))</f>
        <v/>
      </c>
      <c r="H51" s="1862"/>
      <c r="I51" s="1739"/>
      <c r="J51" s="1773"/>
      <c r="K51" s="1865"/>
      <c r="L51" s="1862" t="s">
        <v>308</v>
      </c>
      <c r="M51" s="2170"/>
      <c r="N51" s="334"/>
      <c r="O51" s="1624"/>
      <c r="P51" s="1624"/>
      <c r="AH51" s="1631">
        <v>0</v>
      </c>
    </row>
    <row r="52" s="1635" customFormat="1" ht="18.75" hidden="1" customHeight="1">
      <c r="A52" s="1780"/>
      <c r="B52" s="1780"/>
      <c r="C52" s="369" t="s">
        <v>1147</v>
      </c>
      <c r="D52" s="2462"/>
      <c r="E52" s="2204"/>
      <c r="F52" s="2383"/>
      <c r="G52" s="2427"/>
      <c r="H52" s="1500"/>
      <c r="I52" s="651" t="s">
        <v>1148</v>
      </c>
      <c r="J52" s="571"/>
      <c r="K52" s="1500"/>
      <c r="L52" s="214"/>
      <c r="M52" s="2170"/>
      <c r="N52" s="334"/>
      <c r="O52" s="1624"/>
      <c r="P52" s="1624"/>
      <c r="AH52" s="1631">
        <v>0</v>
      </c>
    </row>
    <row r="53" s="1635" customFormat="1" ht="0.75" hidden="1" customHeight="1">
      <c r="A53" s="1780"/>
      <c r="B53" s="1780"/>
      <c r="C53" s="369" t="s">
        <v>1153</v>
      </c>
      <c r="D53" s="2462"/>
      <c r="E53" s="2204"/>
      <c r="F53" s="2383"/>
      <c r="G53" s="400"/>
      <c r="H53" s="1500"/>
      <c r="I53" s="651"/>
      <c r="J53" s="571"/>
      <c r="K53" s="1500"/>
      <c r="L53" s="214"/>
      <c r="M53" s="2170"/>
      <c r="N53" s="334"/>
      <c r="O53" s="1624"/>
      <c r="P53" s="1624"/>
      <c r="AH53" s="1631">
        <v>0</v>
      </c>
    </row>
    <row r="54" s="1635" customFormat="1" ht="18.75" hidden="1" customHeight="1">
      <c r="A54" s="1780" t="s">
        <v>232</v>
      </c>
      <c r="B54" s="1780" t="s">
        <v>233</v>
      </c>
      <c r="C54" s="369"/>
      <c r="D54" s="2462"/>
      <c r="E54" s="2204"/>
      <c r="F54" s="2383" t="str">
        <f>INDEX(PT_DIFFERENTIATION_VTAR,MATCH(A54,PT_DIFFERENTIATION_VTAR_ID,0))</f>
        <v xml:space="preserve">Тариф на техническую воду</v>
      </c>
      <c r="G54" s="2427" t="str">
        <f>INDEX(PT_DIFFERENTIATION_NTAR,MATCH(B54,PT_DIFFERENTIATION_NTAR_ID,0))</f>
        <v/>
      </c>
      <c r="H54" s="1862"/>
      <c r="I54" s="1739"/>
      <c r="J54" s="1773"/>
      <c r="K54" s="1865"/>
      <c r="L54" s="1862" t="s">
        <v>308</v>
      </c>
      <c r="M54" s="2170"/>
      <c r="N54" s="334"/>
      <c r="O54" s="1624"/>
      <c r="P54" s="1624"/>
      <c r="AH54" s="1631">
        <v>0</v>
      </c>
    </row>
    <row r="55" s="1635" customFormat="1" ht="18.75" hidden="1" customHeight="1">
      <c r="A55" s="1780"/>
      <c r="B55" s="1780"/>
      <c r="C55" s="369" t="s">
        <v>1147</v>
      </c>
      <c r="D55" s="2462"/>
      <c r="E55" s="2204"/>
      <c r="F55" s="2383"/>
      <c r="G55" s="2427"/>
      <c r="H55" s="1500"/>
      <c r="I55" s="651" t="s">
        <v>1148</v>
      </c>
      <c r="J55" s="571"/>
      <c r="K55" s="1500"/>
      <c r="L55" s="214"/>
      <c r="M55" s="2170"/>
      <c r="N55" s="334"/>
      <c r="O55" s="1624"/>
      <c r="P55" s="1624"/>
      <c r="AH55" s="1631">
        <v>0</v>
      </c>
    </row>
    <row r="56" s="1635" customFormat="1" ht="0.75" hidden="1" customHeight="1">
      <c r="A56" s="1780"/>
      <c r="B56" s="1780"/>
      <c r="C56" s="369" t="s">
        <v>1153</v>
      </c>
      <c r="D56" s="2462"/>
      <c r="E56" s="2204"/>
      <c r="F56" s="2383"/>
      <c r="G56" s="400"/>
      <c r="H56" s="1500"/>
      <c r="I56" s="651"/>
      <c r="J56" s="571"/>
      <c r="K56" s="1500"/>
      <c r="L56" s="214"/>
      <c r="M56" s="2170"/>
      <c r="N56" s="334"/>
      <c r="O56" s="1624"/>
      <c r="P56" s="1624"/>
      <c r="AH56" s="1631">
        <v>0</v>
      </c>
    </row>
    <row r="57" s="1635" customFormat="1" ht="18.75" hidden="1" customHeight="1">
      <c r="A57" s="1780" t="s">
        <v>237</v>
      </c>
      <c r="B57" s="1780" t="s">
        <v>238</v>
      </c>
      <c r="C57" s="369"/>
      <c r="D57" s="2462"/>
      <c r="E57" s="2204"/>
      <c r="F57" s="2383" t="str">
        <f>INDEX(PT_DIFFERENTIATION_VTAR,MATCH(A57,PT_DIFFERENTIATION_VTAR_ID,0))</f>
        <v xml:space="preserve">Тариф на транспортировку воды</v>
      </c>
      <c r="G57" s="2427" t="str">
        <f>INDEX(PT_DIFFERENTIATION_NTAR,MATCH(B57,PT_DIFFERENTIATION_NTAR_ID,0))</f>
        <v/>
      </c>
      <c r="H57" s="1862"/>
      <c r="I57" s="1739"/>
      <c r="J57" s="1773"/>
      <c r="K57" s="1865"/>
      <c r="L57" s="1862" t="s">
        <v>308</v>
      </c>
      <c r="M57" s="2170"/>
      <c r="N57" s="334"/>
      <c r="O57" s="1624"/>
      <c r="P57" s="1624"/>
      <c r="AH57" s="1631">
        <v>0</v>
      </c>
    </row>
    <row r="58" s="1635" customFormat="1" ht="18.75" hidden="1" customHeight="1">
      <c r="A58" s="1780"/>
      <c r="B58" s="1780"/>
      <c r="C58" s="369" t="s">
        <v>1147</v>
      </c>
      <c r="D58" s="2462"/>
      <c r="E58" s="2204"/>
      <c r="F58" s="2383"/>
      <c r="G58" s="2427"/>
      <c r="H58" s="1500"/>
      <c r="I58" s="651" t="s">
        <v>1148</v>
      </c>
      <c r="J58" s="571"/>
      <c r="K58" s="1500"/>
      <c r="L58" s="214"/>
      <c r="M58" s="2170"/>
      <c r="N58" s="334"/>
      <c r="O58" s="1624"/>
      <c r="P58" s="1624"/>
      <c r="AH58" s="1631">
        <v>0</v>
      </c>
    </row>
    <row r="59" s="1635" customFormat="1" ht="0.75" hidden="1" customHeight="1">
      <c r="A59" s="1780"/>
      <c r="B59" s="1780"/>
      <c r="C59" s="369" t="s">
        <v>1153</v>
      </c>
      <c r="D59" s="2462"/>
      <c r="E59" s="2204"/>
      <c r="F59" s="2383"/>
      <c r="G59" s="400"/>
      <c r="H59" s="1500"/>
      <c r="I59" s="651"/>
      <c r="J59" s="571"/>
      <c r="K59" s="1500"/>
      <c r="L59" s="214"/>
      <c r="M59" s="2170"/>
      <c r="N59" s="334"/>
      <c r="O59" s="1624"/>
      <c r="P59" s="1624"/>
      <c r="AH59" s="1631">
        <v>0</v>
      </c>
    </row>
    <row r="60" s="1635" customFormat="1" ht="18.75" hidden="1" customHeight="1">
      <c r="A60" s="1780" t="s">
        <v>242</v>
      </c>
      <c r="B60" s="1780" t="s">
        <v>243</v>
      </c>
      <c r="C60" s="369"/>
      <c r="D60" s="2462"/>
      <c r="E60" s="2204"/>
      <c r="F60" s="2383" t="str">
        <f>INDEX(PT_DIFFERENTIATION_VTAR,MATCH(A60,PT_DIFFERENTIATION_VTAR_ID,0))</f>
        <v xml:space="preserve">Тариф на подвоз воды</v>
      </c>
      <c r="G60" s="2427" t="str">
        <f>INDEX(PT_DIFFERENTIATION_NTAR,MATCH(B60,PT_DIFFERENTIATION_NTAR_ID,0))</f>
        <v/>
      </c>
      <c r="H60" s="1862"/>
      <c r="I60" s="1739"/>
      <c r="J60" s="1773"/>
      <c r="K60" s="1865"/>
      <c r="L60" s="1862" t="s">
        <v>308</v>
      </c>
      <c r="M60" s="2170"/>
      <c r="N60" s="334"/>
      <c r="O60" s="1624"/>
      <c r="P60" s="1624"/>
      <c r="AH60" s="1631">
        <v>0</v>
      </c>
    </row>
    <row r="61" s="1635" customFormat="1" ht="18.75" hidden="1" customHeight="1">
      <c r="A61" s="1780"/>
      <c r="B61" s="1780"/>
      <c r="C61" s="369" t="s">
        <v>1147</v>
      </c>
      <c r="D61" s="2462"/>
      <c r="E61" s="2204"/>
      <c r="F61" s="2383"/>
      <c r="G61" s="2427"/>
      <c r="H61" s="1500"/>
      <c r="I61" s="651" t="s">
        <v>1148</v>
      </c>
      <c r="J61" s="571"/>
      <c r="K61" s="1500"/>
      <c r="L61" s="214"/>
      <c r="M61" s="2170"/>
      <c r="N61" s="334"/>
      <c r="O61" s="1624"/>
      <c r="P61" s="1624"/>
      <c r="AH61" s="1631">
        <v>0</v>
      </c>
    </row>
    <row r="62" s="1635" customFormat="1" ht="0.75" hidden="1" customHeight="1">
      <c r="A62" s="1780"/>
      <c r="B62" s="1780"/>
      <c r="C62" s="369" t="s">
        <v>1153</v>
      </c>
      <c r="D62" s="2462"/>
      <c r="E62" s="2204"/>
      <c r="F62" s="2383"/>
      <c r="G62" s="400"/>
      <c r="H62" s="1500"/>
      <c r="I62" s="651"/>
      <c r="J62" s="571"/>
      <c r="K62" s="1500"/>
      <c r="L62" s="214"/>
      <c r="M62" s="2170"/>
      <c r="N62" s="334"/>
      <c r="O62" s="1624"/>
      <c r="P62" s="1624"/>
      <c r="AH62" s="1631">
        <v>0</v>
      </c>
    </row>
    <row r="63" s="1635" customFormat="1" ht="18.75" hidden="1" customHeight="1">
      <c r="A63" s="1780" t="s">
        <v>247</v>
      </c>
      <c r="B63" s="1780" t="s">
        <v>248</v>
      </c>
      <c r="C63" s="369"/>
      <c r="D63" s="2462"/>
      <c r="E63" s="2204"/>
      <c r="F63" s="2383" t="str">
        <f>INDEX(PT_DIFFERENTIATION_VTAR,MATCH(A63,PT_DIFFERENTIATION_VTAR_ID,0))</f>
        <v xml:space="preserve">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308</v>
      </c>
      <c r="M63" s="2170"/>
      <c r="N63" s="334"/>
      <c r="O63" s="1624"/>
      <c r="P63" s="1624"/>
      <c r="AH63" s="1631">
        <v>0</v>
      </c>
    </row>
    <row r="64" s="1635" customFormat="1" ht="18.75" hidden="1" customHeight="1">
      <c r="A64" s="1780"/>
      <c r="B64" s="1780"/>
      <c r="C64" s="369" t="s">
        <v>1147</v>
      </c>
      <c r="D64" s="2462"/>
      <c r="E64" s="2204"/>
      <c r="F64" s="2383"/>
      <c r="G64" s="2427"/>
      <c r="H64" s="1500"/>
      <c r="I64" s="651" t="s">
        <v>1148</v>
      </c>
      <c r="J64" s="571"/>
      <c r="K64" s="1500"/>
      <c r="L64" s="214"/>
      <c r="M64" s="2170"/>
      <c r="N64" s="334"/>
      <c r="O64" s="1624"/>
      <c r="P64" s="1624"/>
      <c r="AH64" s="1631">
        <v>0</v>
      </c>
    </row>
    <row r="65" s="1635" customFormat="1" ht="0.75" hidden="1" customHeight="1">
      <c r="A65" s="1780"/>
      <c r="B65" s="1780"/>
      <c r="C65" s="369" t="s">
        <v>1153</v>
      </c>
      <c r="D65" s="2462"/>
      <c r="E65" s="2204"/>
      <c r="F65" s="2383"/>
      <c r="G65" s="400"/>
      <c r="H65" s="1500"/>
      <c r="I65" s="651"/>
      <c r="J65" s="571"/>
      <c r="K65" s="1500"/>
      <c r="L65" s="214"/>
      <c r="M65" s="2170"/>
      <c r="N65" s="334"/>
      <c r="O65" s="1624"/>
      <c r="P65" s="1624"/>
      <c r="AH65" s="1631">
        <v>0</v>
      </c>
    </row>
    <row r="66" s="1635" customFormat="1" ht="18.75" hidden="1" customHeight="1">
      <c r="A66" s="1780" t="s">
        <v>252</v>
      </c>
      <c r="B66" s="1780" t="s">
        <v>253</v>
      </c>
      <c r="C66" s="369"/>
      <c r="D66" s="2462"/>
      <c r="E66" s="2204"/>
      <c r="F66" s="2383" t="str">
        <f>INDEX(PT_DIFFERENTIATION_VTAR,MATCH(A66,PT_DIFFERENTIATION_VTAR_ID,0))</f>
        <v xml:space="preserve">Тариф на горячую воду (горячее водоснабжение)</v>
      </c>
      <c r="G66" s="2427" t="str">
        <f>INDEX(PT_DIFFERENTIATION_NTAR,MATCH(B66,PT_DIFFERENTIATION_NTAR_ID,0))</f>
        <v/>
      </c>
      <c r="H66" s="1862"/>
      <c r="I66" s="1739"/>
      <c r="J66" s="1773"/>
      <c r="K66" s="1865"/>
      <c r="L66" s="1862" t="s">
        <v>308</v>
      </c>
      <c r="M66" s="2170"/>
      <c r="N66" s="334"/>
      <c r="O66" s="1624"/>
      <c r="P66" s="1624"/>
      <c r="AH66" s="1631">
        <v>0</v>
      </c>
    </row>
    <row r="67" s="1635" customFormat="1" ht="18.75" hidden="1" customHeight="1">
      <c r="A67" s="1780"/>
      <c r="B67" s="1780"/>
      <c r="C67" s="369" t="s">
        <v>1147</v>
      </c>
      <c r="D67" s="2462"/>
      <c r="E67" s="2204"/>
      <c r="F67" s="2383"/>
      <c r="G67" s="2427"/>
      <c r="H67" s="1500"/>
      <c r="I67" s="651" t="s">
        <v>1148</v>
      </c>
      <c r="J67" s="571"/>
      <c r="K67" s="1500"/>
      <c r="L67" s="214"/>
      <c r="M67" s="2170"/>
      <c r="N67" s="334"/>
      <c r="O67" s="1624"/>
      <c r="P67" s="1624"/>
      <c r="AH67" s="1631">
        <v>0</v>
      </c>
    </row>
    <row r="68" s="1635" customFormat="1" ht="0.75" hidden="1" customHeight="1">
      <c r="A68" s="1780"/>
      <c r="B68" s="1780"/>
      <c r="C68" s="369" t="s">
        <v>1153</v>
      </c>
      <c r="D68" s="2462"/>
      <c r="E68" s="2204"/>
      <c r="F68" s="2383"/>
      <c r="G68" s="400"/>
      <c r="H68" s="1500"/>
      <c r="I68" s="651"/>
      <c r="J68" s="571"/>
      <c r="K68" s="1500"/>
      <c r="L68" s="214"/>
      <c r="M68" s="2170"/>
      <c r="N68" s="334"/>
      <c r="O68" s="1624"/>
      <c r="P68" s="1624"/>
      <c r="AH68" s="1631">
        <v>0</v>
      </c>
    </row>
    <row r="69" s="1635" customFormat="1" ht="18.75" hidden="1" customHeight="1">
      <c r="A69" s="1780" t="s">
        <v>257</v>
      </c>
      <c r="B69" s="1780" t="s">
        <v>258</v>
      </c>
      <c r="C69" s="369"/>
      <c r="D69" s="2462"/>
      <c r="E69" s="2204"/>
      <c r="F69" s="2383" t="str">
        <f>INDEX(PT_DIFFERENTIATION_VTAR,MATCH(A69,PT_DIFFERENTIATION_VTAR_ID,0))</f>
        <v xml:space="preserve">Тариф на транспортировку горячей воды</v>
      </c>
      <c r="G69" s="2427" t="str">
        <f>INDEX(PT_DIFFERENTIATION_NTAR,MATCH(B69,PT_DIFFERENTIATION_NTAR_ID,0))</f>
        <v/>
      </c>
      <c r="H69" s="1862"/>
      <c r="I69" s="1739"/>
      <c r="J69" s="1773"/>
      <c r="K69" s="1865"/>
      <c r="L69" s="1862" t="s">
        <v>308</v>
      </c>
      <c r="M69" s="2170"/>
      <c r="N69" s="334"/>
      <c r="O69" s="1624"/>
      <c r="P69" s="1624"/>
      <c r="AH69" s="1631">
        <v>0</v>
      </c>
    </row>
    <row r="70" s="1635" customFormat="1" ht="18.75" hidden="1" customHeight="1">
      <c r="A70" s="1780"/>
      <c r="B70" s="1780"/>
      <c r="C70" s="369" t="s">
        <v>1147</v>
      </c>
      <c r="D70" s="2462"/>
      <c r="E70" s="2204"/>
      <c r="F70" s="2383"/>
      <c r="G70" s="2427"/>
      <c r="H70" s="1500"/>
      <c r="I70" s="651" t="s">
        <v>1148</v>
      </c>
      <c r="J70" s="571"/>
      <c r="K70" s="1500"/>
      <c r="L70" s="214"/>
      <c r="M70" s="2170"/>
      <c r="N70" s="334"/>
      <c r="O70" s="1624"/>
      <c r="P70" s="1624"/>
      <c r="AH70" s="1631">
        <v>0</v>
      </c>
    </row>
    <row r="71" s="1635" customFormat="1" ht="0.75" hidden="1" customHeight="1">
      <c r="A71" s="1780"/>
      <c r="B71" s="1780"/>
      <c r="C71" s="369" t="s">
        <v>1153</v>
      </c>
      <c r="D71" s="2462"/>
      <c r="E71" s="2204"/>
      <c r="F71" s="2383"/>
      <c r="G71" s="400"/>
      <c r="H71" s="1500"/>
      <c r="I71" s="651"/>
      <c r="J71" s="571"/>
      <c r="K71" s="1500"/>
      <c r="L71" s="214"/>
      <c r="M71" s="2170"/>
      <c r="N71" s="334"/>
      <c r="O71" s="1624"/>
      <c r="P71" s="1624"/>
      <c r="AH71" s="1631">
        <v>0</v>
      </c>
    </row>
    <row r="72" s="1635" customFormat="1" ht="18.75" hidden="1" customHeight="1">
      <c r="A72" s="1780" t="s">
        <v>262</v>
      </c>
      <c r="B72" s="1780" t="s">
        <v>263</v>
      </c>
      <c r="C72" s="369"/>
      <c r="D72" s="2462"/>
      <c r="E72" s="2204"/>
      <c r="F72" s="2383" t="str">
        <f>INDEX(PT_DIFFERENTIATION_VTAR,MATCH(A72,PT_DIFFERENTIATION_VTAR_ID,0))</f>
        <v xml:space="preserve">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308</v>
      </c>
      <c r="M72" s="2170"/>
      <c r="N72" s="334"/>
      <c r="O72" s="1624"/>
      <c r="P72" s="1624"/>
      <c r="AH72" s="1631">
        <v>0</v>
      </c>
    </row>
    <row r="73" s="1635" customFormat="1" ht="18.75" hidden="1" customHeight="1">
      <c r="A73" s="1780"/>
      <c r="B73" s="1780"/>
      <c r="C73" s="369" t="s">
        <v>1147</v>
      </c>
      <c r="D73" s="2462"/>
      <c r="E73" s="2204"/>
      <c r="F73" s="2383"/>
      <c r="G73" s="2427"/>
      <c r="H73" s="1500"/>
      <c r="I73" s="651" t="s">
        <v>1148</v>
      </c>
      <c r="J73" s="571"/>
      <c r="K73" s="1500"/>
      <c r="L73" s="214"/>
      <c r="M73" s="2170"/>
      <c r="N73" s="334"/>
      <c r="O73" s="1624"/>
      <c r="P73" s="1624"/>
      <c r="AH73" s="1631">
        <v>0</v>
      </c>
    </row>
    <row r="74" s="1635" customFormat="1" ht="0.75" hidden="1" customHeight="1">
      <c r="A74" s="1780"/>
      <c r="B74" s="1780"/>
      <c r="C74" s="369" t="s">
        <v>1153</v>
      </c>
      <c r="D74" s="2462"/>
      <c r="E74" s="2204"/>
      <c r="F74" s="2383"/>
      <c r="G74" s="400"/>
      <c r="H74" s="1500"/>
      <c r="I74" s="651"/>
      <c r="J74" s="571"/>
      <c r="K74" s="1500"/>
      <c r="L74" s="214"/>
      <c r="M74" s="2170"/>
      <c r="N74" s="334"/>
      <c r="O74" s="1624"/>
      <c r="P74" s="1624"/>
      <c r="AH74" s="1631">
        <v>0</v>
      </c>
    </row>
    <row r="75" s="1635" customFormat="1" ht="18.75" hidden="1" customHeight="1">
      <c r="A75" s="1780" t="s">
        <v>267</v>
      </c>
      <c r="B75" s="1780" t="s">
        <v>268</v>
      </c>
      <c r="C75" s="369"/>
      <c r="D75" s="2462"/>
      <c r="E75" s="2204"/>
      <c r="F75" s="2383" t="str">
        <f>INDEX(PT_DIFFERENTIATION_VTAR,MATCH(A75,PT_DIFFERENTIATION_VTAR_ID,0))</f>
        <v xml:space="preserve">Тариф на водоотведение</v>
      </c>
      <c r="G75" s="2427" t="str">
        <f>INDEX(PT_DIFFERENTIATION_NTAR,MATCH(B75,PT_DIFFERENTIATION_NTAR_ID,0))</f>
        <v/>
      </c>
      <c r="H75" s="1862"/>
      <c r="I75" s="1739"/>
      <c r="J75" s="1773"/>
      <c r="K75" s="1865"/>
      <c r="L75" s="1862" t="s">
        <v>308</v>
      </c>
      <c r="M75" s="2170"/>
      <c r="N75" s="334"/>
      <c r="O75" s="1624"/>
      <c r="P75" s="1624"/>
      <c r="AH75" s="1631">
        <v>0</v>
      </c>
    </row>
    <row r="76" s="1635" customFormat="1" ht="18.75" hidden="1" customHeight="1">
      <c r="A76" s="1780"/>
      <c r="B76" s="1780"/>
      <c r="C76" s="369" t="s">
        <v>1147</v>
      </c>
      <c r="D76" s="2462"/>
      <c r="E76" s="2204"/>
      <c r="F76" s="2383"/>
      <c r="G76" s="2427"/>
      <c r="H76" s="1500"/>
      <c r="I76" s="651" t="s">
        <v>1148</v>
      </c>
      <c r="J76" s="571"/>
      <c r="K76" s="1500"/>
      <c r="L76" s="214"/>
      <c r="M76" s="2170"/>
      <c r="N76" s="334"/>
      <c r="O76" s="1624"/>
      <c r="P76" s="1624"/>
      <c r="AH76" s="1631">
        <v>0</v>
      </c>
    </row>
    <row r="77" s="1635" customFormat="1" ht="0.75" hidden="1" customHeight="1">
      <c r="A77" s="1780"/>
      <c r="B77" s="1780"/>
      <c r="C77" s="369" t="s">
        <v>1153</v>
      </c>
      <c r="D77" s="2462"/>
      <c r="E77" s="2204"/>
      <c r="F77" s="2383"/>
      <c r="G77" s="400"/>
      <c r="H77" s="1500"/>
      <c r="I77" s="651"/>
      <c r="J77" s="571"/>
      <c r="K77" s="1500"/>
      <c r="L77" s="214"/>
      <c r="M77" s="2170"/>
      <c r="N77" s="334"/>
      <c r="O77" s="1624"/>
      <c r="P77" s="1624"/>
      <c r="AH77" s="1631">
        <v>0</v>
      </c>
    </row>
    <row r="78" s="1635" customFormat="1" ht="18.75" hidden="1" customHeight="1">
      <c r="A78" s="1780" t="s">
        <v>272</v>
      </c>
      <c r="B78" s="1780" t="s">
        <v>273</v>
      </c>
      <c r="C78" s="369"/>
      <c r="D78" s="2462"/>
      <c r="E78" s="2204"/>
      <c r="F78" s="2383" t="str">
        <f>INDEX(PT_DIFFERENTIATION_VTAR,MATCH(A78,PT_DIFFERENTIATION_VTAR_ID,0))</f>
        <v xml:space="preserve">Тариф на транспортировку сточных вод</v>
      </c>
      <c r="G78" s="2427" t="str">
        <f>INDEX(PT_DIFFERENTIATION_NTAR,MATCH(B78,PT_DIFFERENTIATION_NTAR_ID,0))</f>
        <v/>
      </c>
      <c r="H78" s="1862"/>
      <c r="I78" s="1739"/>
      <c r="J78" s="1773"/>
      <c r="K78" s="1865"/>
      <c r="L78" s="1862" t="s">
        <v>308</v>
      </c>
      <c r="M78" s="2170"/>
      <c r="N78" s="334"/>
      <c r="O78" s="1624"/>
      <c r="P78" s="1624"/>
      <c r="AH78" s="1631">
        <v>0</v>
      </c>
    </row>
    <row r="79" s="1635" customFormat="1" ht="18.75" hidden="1" customHeight="1">
      <c r="A79" s="1780"/>
      <c r="B79" s="1780"/>
      <c r="C79" s="369" t="s">
        <v>1147</v>
      </c>
      <c r="D79" s="2462"/>
      <c r="E79" s="2204"/>
      <c r="F79" s="2383"/>
      <c r="G79" s="2427"/>
      <c r="H79" s="1500"/>
      <c r="I79" s="651" t="s">
        <v>1148</v>
      </c>
      <c r="J79" s="571"/>
      <c r="K79" s="1500"/>
      <c r="L79" s="214"/>
      <c r="M79" s="2170"/>
      <c r="N79" s="334"/>
      <c r="O79" s="1624"/>
      <c r="P79" s="1624"/>
      <c r="AH79" s="1631">
        <v>0</v>
      </c>
    </row>
    <row r="80" s="1635" customFormat="1" ht="0.75" hidden="1" customHeight="1">
      <c r="A80" s="1780"/>
      <c r="B80" s="1780"/>
      <c r="C80" s="369" t="s">
        <v>1153</v>
      </c>
      <c r="D80" s="2462"/>
      <c r="E80" s="2204"/>
      <c r="F80" s="2383"/>
      <c r="G80" s="400"/>
      <c r="H80" s="1500"/>
      <c r="I80" s="651"/>
      <c r="J80" s="571"/>
      <c r="K80" s="1500"/>
      <c r="L80" s="214"/>
      <c r="M80" s="2170"/>
      <c r="N80" s="334"/>
      <c r="O80" s="1624"/>
      <c r="P80" s="1624"/>
      <c r="AH80" s="1631">
        <v>0</v>
      </c>
    </row>
    <row r="81" s="1635" customFormat="1" ht="18.75" hidden="1" customHeight="1">
      <c r="A81" s="1780" t="s">
        <v>277</v>
      </c>
      <c r="B81" s="1780" t="s">
        <v>278</v>
      </c>
      <c r="C81" s="369"/>
      <c r="D81" s="2462"/>
      <c r="E81" s="2204"/>
      <c r="F81" s="2383" t="str">
        <f>INDEX(PT_DIFFERENTIATION_VTAR,MATCH(A81,PT_DIFFERENTIATION_VTAR_ID,0))</f>
        <v xml:space="preserve">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308</v>
      </c>
      <c r="M81" s="2170"/>
      <c r="N81" s="334"/>
      <c r="O81" s="1624"/>
      <c r="P81" s="1624"/>
      <c r="AH81" s="1631">
        <v>0</v>
      </c>
    </row>
    <row r="82" s="1635" customFormat="1" ht="18.75" hidden="1" customHeight="1">
      <c r="A82" s="1780"/>
      <c r="B82" s="1780"/>
      <c r="C82" s="369" t="s">
        <v>1147</v>
      </c>
      <c r="D82" s="2462"/>
      <c r="E82" s="2204"/>
      <c r="F82" s="2383"/>
      <c r="G82" s="2427"/>
      <c r="H82" s="1500"/>
      <c r="I82" s="651" t="s">
        <v>1148</v>
      </c>
      <c r="J82" s="571"/>
      <c r="K82" s="1500"/>
      <c r="L82" s="214"/>
      <c r="M82" s="2170"/>
      <c r="N82" s="334"/>
      <c r="O82" s="1624"/>
      <c r="P82" s="1624"/>
      <c r="AH82" s="1631">
        <v>0</v>
      </c>
    </row>
    <row r="83" s="1635" customFormat="1" ht="1.05" customHeight="1">
      <c r="A83" s="1780"/>
      <c r="B83" s="1780"/>
      <c r="C83" s="369" t="s">
        <v>1153</v>
      </c>
      <c r="D83" s="2462"/>
      <c r="E83" s="2204"/>
      <c r="F83" s="2383"/>
      <c r="G83" s="400"/>
      <c r="H83" s="1500"/>
      <c r="I83" s="651"/>
      <c r="J83" s="571"/>
      <c r="K83" s="1500"/>
      <c r="L83" s="214"/>
      <c r="M83" s="2170"/>
      <c r="N83" s="334"/>
      <c r="O83" s="1624"/>
      <c r="P83" s="1624"/>
      <c r="AH83" s="1631">
        <v>1</v>
      </c>
    </row>
    <row r="84" ht="19.949999999999999" customHeight="1">
      <c r="A84" s="1780"/>
      <c r="B84" s="1780"/>
      <c r="D84" s="376"/>
      <c r="E84" s="147" t="s">
        <v>110</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 xml:space="preserve">Долгосрочные параметры регулирования (в случае если их установление предусмотрено выбранным методом регулирования тарифов в сфере водоотведения)</v>
      </c>
      <c r="G84" s="2460"/>
      <c r="H84" s="2460"/>
      <c r="I84" s="2460"/>
      <c r="J84" s="2460"/>
      <c r="K84" s="2460"/>
      <c r="L84" s="2460"/>
      <c r="M84" s="297"/>
      <c r="N84" s="334"/>
      <c r="AH84" s="374">
        <v>19</v>
      </c>
    </row>
    <row r="85" ht="35.649999999999999" customHeight="1">
      <c r="A85" s="1780"/>
      <c r="B85" s="1780"/>
      <c r="D85" s="376"/>
      <c r="E85" s="399"/>
      <c r="F85" s="198" t="s">
        <v>308</v>
      </c>
      <c r="G85" s="198" t="s">
        <v>308</v>
      </c>
      <c r="H85" s="2218" t="s">
        <v>308</v>
      </c>
      <c r="I85" s="2220"/>
      <c r="J85" s="198" t="s">
        <v>308</v>
      </c>
      <c r="K85" s="198" t="s">
        <v>308</v>
      </c>
      <c r="L85" s="401"/>
      <c r="M85" s="345" t="s">
        <v>1154</v>
      </c>
      <c r="N85" s="334"/>
      <c r="AH85" s="374">
        <v>34</v>
      </c>
    </row>
    <row r="86" ht="19.949999999999999" customHeight="1">
      <c r="A86" s="1780"/>
      <c r="B86" s="1780"/>
      <c r="D86" s="376"/>
      <c r="E86" s="147" t="s">
        <v>89</v>
      </c>
      <c r="F86" s="2460" t="s">
        <v>1155</v>
      </c>
      <c r="G86" s="2460"/>
      <c r="H86" s="2460"/>
      <c r="I86" s="2460"/>
      <c r="J86" s="2460"/>
      <c r="K86" s="2460"/>
      <c r="L86" s="2460"/>
      <c r="M86" s="297"/>
      <c r="N86" s="334"/>
      <c r="AH86" s="374">
        <v>19</v>
      </c>
    </row>
    <row r="87" s="1635" customFormat="1" ht="60.75" hidden="1" customHeight="1">
      <c r="A87" s="1780" t="s">
        <v>159</v>
      </c>
      <c r="B87" s="1780" t="s">
        <v>160</v>
      </c>
      <c r="C87" s="369"/>
      <c r="D87" s="2462"/>
      <c r="E87" s="2204"/>
      <c r="F87" s="2383" t="str">
        <f>INDEX(PT_DIFFERENTIATION_VTAR,MATCH(A87,PT_DIFFERENTIATION_VTAR_ID,0))</f>
        <v xml:space="preserve">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308</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 xml:space="preserve">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r="88" s="1635" customFormat="1" ht="18.75" hidden="1" customHeight="1">
      <c r="A88" s="1780"/>
      <c r="B88" s="1780"/>
      <c r="C88" s="369" t="s">
        <v>1149</v>
      </c>
      <c r="D88" s="2462"/>
      <c r="E88" s="2204"/>
      <c r="F88" s="2383"/>
      <c r="G88" s="2427"/>
      <c r="H88" s="1500"/>
      <c r="I88" s="651" t="s">
        <v>1148</v>
      </c>
      <c r="J88" s="571"/>
      <c r="K88" s="1500"/>
      <c r="L88" s="214"/>
      <c r="M88" s="2170"/>
      <c r="N88" s="334"/>
      <c r="O88" s="1624"/>
      <c r="P88" s="1624"/>
      <c r="AH88" s="1631">
        <v>0</v>
      </c>
    </row>
    <row r="89" s="1635" customFormat="1" ht="0.75" hidden="1" customHeight="1">
      <c r="A89" s="1780"/>
      <c r="B89" s="1780"/>
      <c r="C89" s="369" t="s">
        <v>1156</v>
      </c>
      <c r="D89" s="2462"/>
      <c r="E89" s="2204"/>
      <c r="F89" s="2383"/>
      <c r="G89" s="400"/>
      <c r="H89" s="1500"/>
      <c r="I89" s="651"/>
      <c r="J89" s="571"/>
      <c r="K89" s="1500"/>
      <c r="L89" s="214"/>
      <c r="M89" s="2170"/>
      <c r="N89" s="334"/>
      <c r="O89" s="1624"/>
      <c r="P89" s="1624"/>
      <c r="AH89" s="1631">
        <v>0</v>
      </c>
    </row>
    <row r="90" s="1635" customFormat="1" ht="45" hidden="1" customHeight="1">
      <c r="A90" s="1780" t="s">
        <v>164</v>
      </c>
      <c r="B90" s="1780" t="s">
        <v>165</v>
      </c>
      <c r="C90" s="369"/>
      <c r="D90" s="2462"/>
      <c r="E90" s="2204"/>
      <c r="F90" s="2383" t="str">
        <f>INDEX(PT_DIFFERENTIATION_VTAR,MATCH(A90,PT_DIFFERENTIATION_VTAR_ID,0))</f>
        <v/>
      </c>
      <c r="G90" s="2427" t="str">
        <f>INDEX(PT_DIFFERENTIATION_NTAR,MATCH(B90,PT_DIFFERENTIATION_NTAR_ID,0))</f>
        <v/>
      </c>
      <c r="H90" s="1862"/>
      <c r="I90" s="1739"/>
      <c r="J90" s="1773"/>
      <c r="K90" s="1778"/>
      <c r="L90" s="1862" t="s">
        <v>308</v>
      </c>
      <c r="M90" s="2171"/>
      <c r="N90" s="334"/>
      <c r="O90" s="1624"/>
      <c r="P90" s="1624"/>
      <c r="AH90" s="1631">
        <v>0</v>
      </c>
    </row>
    <row r="91" s="1635" customFormat="1" ht="18.75" hidden="1" customHeight="1">
      <c r="A91" s="1780"/>
      <c r="B91" s="1780"/>
      <c r="C91" s="369" t="s">
        <v>1149</v>
      </c>
      <c r="D91" s="2462"/>
      <c r="E91" s="2204"/>
      <c r="F91" s="2383"/>
      <c r="G91" s="2427"/>
      <c r="H91" s="1500"/>
      <c r="I91" s="651" t="s">
        <v>1148</v>
      </c>
      <c r="J91" s="571"/>
      <c r="K91" s="1500"/>
      <c r="L91" s="214"/>
      <c r="M91" s="1861"/>
      <c r="N91" s="334"/>
      <c r="O91" s="1624"/>
      <c r="P91" s="1624"/>
      <c r="AH91" s="1631">
        <v>0</v>
      </c>
    </row>
    <row r="92" s="1635" customFormat="1" ht="0.75" hidden="1" customHeight="1">
      <c r="A92" s="1780"/>
      <c r="B92" s="1780"/>
      <c r="C92" s="369" t="s">
        <v>1156</v>
      </c>
      <c r="D92" s="2462"/>
      <c r="E92" s="2204"/>
      <c r="F92" s="2383"/>
      <c r="G92" s="400"/>
      <c r="H92" s="1500"/>
      <c r="I92" s="651"/>
      <c r="J92" s="571"/>
      <c r="K92" s="1500"/>
      <c r="L92" s="214"/>
      <c r="M92" s="341"/>
      <c r="N92" s="334"/>
      <c r="O92" s="1624"/>
      <c r="P92" s="1624"/>
      <c r="AH92" s="1631">
        <v>0</v>
      </c>
    </row>
    <row r="93" s="1635" customFormat="1" ht="45" hidden="1" customHeight="1">
      <c r="A93" s="1780" t="s">
        <v>171</v>
      </c>
      <c r="B93" s="1780" t="s">
        <v>172</v>
      </c>
      <c r="C93" s="369"/>
      <c r="D93" s="2462"/>
      <c r="E93" s="2204"/>
      <c r="F93" s="2383" t="str">
        <f>INDEX(PT_DIFFERENTIATION_VTAR,MATCH(A93,PT_DIFFERENTIATION_VTAR_ID,0))</f>
        <v xml:space="preserve">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308</v>
      </c>
      <c r="M93" s="341"/>
      <c r="N93" s="334"/>
      <c r="O93" s="1624"/>
      <c r="P93" s="1624"/>
      <c r="AH93" s="1631">
        <v>0</v>
      </c>
    </row>
    <row r="94" s="1635" customFormat="1" ht="18.75" hidden="1" customHeight="1">
      <c r="A94" s="1780"/>
      <c r="B94" s="1780"/>
      <c r="C94" s="369" t="s">
        <v>1149</v>
      </c>
      <c r="D94" s="2462"/>
      <c r="E94" s="2204"/>
      <c r="F94" s="2383"/>
      <c r="G94" s="2427"/>
      <c r="H94" s="1500"/>
      <c r="I94" s="651" t="s">
        <v>1148</v>
      </c>
      <c r="J94" s="571"/>
      <c r="K94" s="1500"/>
      <c r="L94" s="214"/>
      <c r="M94" s="341"/>
      <c r="N94" s="334"/>
      <c r="O94" s="1624"/>
      <c r="P94" s="1624"/>
      <c r="AH94" s="1631">
        <v>0</v>
      </c>
    </row>
    <row r="95" s="1635" customFormat="1" ht="0.75" hidden="1" customHeight="1">
      <c r="A95" s="1780"/>
      <c r="B95" s="1780"/>
      <c r="C95" s="369" t="s">
        <v>1156</v>
      </c>
      <c r="D95" s="2462"/>
      <c r="E95" s="2204"/>
      <c r="F95" s="2383"/>
      <c r="G95" s="400"/>
      <c r="H95" s="1500"/>
      <c r="I95" s="651"/>
      <c r="J95" s="571"/>
      <c r="K95" s="1500"/>
      <c r="L95" s="214"/>
      <c r="M95" s="341"/>
      <c r="N95" s="334"/>
      <c r="O95" s="1624"/>
      <c r="P95" s="1624"/>
      <c r="AH95" s="1631">
        <v>0</v>
      </c>
    </row>
    <row r="96" s="1635" customFormat="1" ht="45" hidden="1" customHeight="1">
      <c r="A96" s="1780" t="s">
        <v>177</v>
      </c>
      <c r="B96" s="1780" t="s">
        <v>178</v>
      </c>
      <c r="C96" s="369"/>
      <c r="D96" s="2462"/>
      <c r="E96" s="2204"/>
      <c r="F96" s="2383" t="str">
        <f>INDEX(PT_DIFFERENTIATION_VTAR,MATCH(A96,PT_DIFFERENTIATION_VTAR_ID,0))</f>
        <v xml:space="preserve">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308</v>
      </c>
      <c r="M96" s="341"/>
      <c r="N96" s="334"/>
      <c r="O96" s="1624"/>
      <c r="P96" s="1624"/>
      <c r="AH96" s="1631">
        <v>0</v>
      </c>
    </row>
    <row r="97" s="1635" customFormat="1" ht="18.75" hidden="1" customHeight="1">
      <c r="A97" s="1780"/>
      <c r="B97" s="1780"/>
      <c r="C97" s="369" t="s">
        <v>1149</v>
      </c>
      <c r="D97" s="2462"/>
      <c r="E97" s="2204"/>
      <c r="F97" s="2383"/>
      <c r="G97" s="2427"/>
      <c r="H97" s="1500"/>
      <c r="I97" s="651" t="s">
        <v>1148</v>
      </c>
      <c r="J97" s="571"/>
      <c r="K97" s="1500"/>
      <c r="L97" s="214"/>
      <c r="M97" s="341"/>
      <c r="N97" s="334"/>
      <c r="O97" s="1624"/>
      <c r="P97" s="1624"/>
      <c r="AH97" s="1631">
        <v>0</v>
      </c>
    </row>
    <row r="98" s="1635" customFormat="1" ht="0.75" hidden="1" customHeight="1">
      <c r="A98" s="1780"/>
      <c r="B98" s="1780"/>
      <c r="C98" s="369" t="s">
        <v>1156</v>
      </c>
      <c r="D98" s="2462"/>
      <c r="E98" s="2204"/>
      <c r="F98" s="2383"/>
      <c r="G98" s="400"/>
      <c r="H98" s="1500"/>
      <c r="I98" s="651"/>
      <c r="J98" s="571"/>
      <c r="K98" s="1500"/>
      <c r="L98" s="214"/>
      <c r="M98" s="341"/>
      <c r="N98" s="334"/>
      <c r="O98" s="1624"/>
      <c r="P98" s="1624"/>
      <c r="AH98" s="1631">
        <v>0</v>
      </c>
    </row>
    <row r="99" s="1635" customFormat="1" ht="18.75" hidden="1" customHeight="1">
      <c r="A99" s="1780" t="s">
        <v>183</v>
      </c>
      <c r="B99" s="1780" t="s">
        <v>184</v>
      </c>
      <c r="C99" s="369"/>
      <c r="D99" s="2462"/>
      <c r="E99" s="2204"/>
      <c r="F99" s="2383" t="str">
        <f>INDEX(PT_DIFFERENTIATION_VTAR,MATCH(A99,PT_DIFFERENTIATION_VTAR_ID,0))</f>
        <v xml:space="preserve">Тарифы на услуги по передаче тепловой энергии</v>
      </c>
      <c r="G99" s="2427" t="str">
        <f>INDEX(PT_DIFFERENTIATION_NTAR,MATCH(B99,PT_DIFFERENTIATION_NTAR_ID,0))</f>
        <v/>
      </c>
      <c r="H99" s="1862"/>
      <c r="I99" s="1739"/>
      <c r="J99" s="1773"/>
      <c r="K99" s="1778"/>
      <c r="L99" s="1862" t="s">
        <v>308</v>
      </c>
      <c r="M99" s="341"/>
      <c r="N99" s="334"/>
      <c r="O99" s="1624"/>
      <c r="P99" s="1624"/>
      <c r="AH99" s="1631">
        <v>0</v>
      </c>
    </row>
    <row r="100" s="1635" customFormat="1" ht="18.75" hidden="1" customHeight="1">
      <c r="A100" s="1780"/>
      <c r="B100" s="1780"/>
      <c r="C100" s="369" t="s">
        <v>1149</v>
      </c>
      <c r="D100" s="2462"/>
      <c r="E100" s="2204"/>
      <c r="F100" s="2383"/>
      <c r="G100" s="2427"/>
      <c r="H100" s="1500"/>
      <c r="I100" s="651" t="s">
        <v>1148</v>
      </c>
      <c r="J100" s="571"/>
      <c r="K100" s="1500"/>
      <c r="L100" s="214"/>
      <c r="M100" s="341"/>
      <c r="N100" s="334"/>
      <c r="O100" s="1624"/>
      <c r="P100" s="1624"/>
      <c r="AH100" s="1631">
        <v>0</v>
      </c>
    </row>
    <row r="101" s="1635" customFormat="1" ht="0.75" hidden="1" customHeight="1">
      <c r="A101" s="1780"/>
      <c r="B101" s="1780"/>
      <c r="C101" s="369" t="s">
        <v>1156</v>
      </c>
      <c r="D101" s="2462"/>
      <c r="E101" s="2204"/>
      <c r="F101" s="2383"/>
      <c r="G101" s="400"/>
      <c r="H101" s="1500"/>
      <c r="I101" s="651"/>
      <c r="J101" s="571"/>
      <c r="K101" s="1500"/>
      <c r="L101" s="214"/>
      <c r="M101" s="341"/>
      <c r="N101" s="334"/>
      <c r="O101" s="1624"/>
      <c r="P101" s="1624"/>
      <c r="AH101" s="1631">
        <v>0</v>
      </c>
    </row>
    <row r="102" s="1635" customFormat="1" ht="18.75" hidden="1" customHeight="1">
      <c r="A102" s="1780" t="s">
        <v>189</v>
      </c>
      <c r="B102" s="1780" t="s">
        <v>190</v>
      </c>
      <c r="C102" s="369"/>
      <c r="D102" s="2462"/>
      <c r="E102" s="2204"/>
      <c r="F102" s="2383" t="str">
        <f>INDEX(PT_DIFFERENTIATION_VTAR,MATCH(A102,PT_DIFFERENTIATION_VTAR_ID,0))</f>
        <v xml:space="preserve">Тарифы на услуги по передаче теплоносителя</v>
      </c>
      <c r="G102" s="2427" t="str">
        <f>INDEX(PT_DIFFERENTIATION_NTAR,MATCH(B102,PT_DIFFERENTIATION_NTAR_ID,0))</f>
        <v/>
      </c>
      <c r="H102" s="1862"/>
      <c r="I102" s="1739"/>
      <c r="J102" s="1773"/>
      <c r="K102" s="1778"/>
      <c r="L102" s="1862" t="s">
        <v>308</v>
      </c>
      <c r="M102" s="341"/>
      <c r="N102" s="334"/>
      <c r="O102" s="1624"/>
      <c r="P102" s="1624"/>
      <c r="AH102" s="1631">
        <v>0</v>
      </c>
    </row>
    <row r="103" s="1635" customFormat="1" ht="18.75" hidden="1" customHeight="1">
      <c r="A103" s="1780"/>
      <c r="B103" s="1780"/>
      <c r="C103" s="369" t="s">
        <v>1149</v>
      </c>
      <c r="D103" s="2462"/>
      <c r="E103" s="2204"/>
      <c r="F103" s="2383"/>
      <c r="G103" s="2427"/>
      <c r="H103" s="1500"/>
      <c r="I103" s="651" t="s">
        <v>1148</v>
      </c>
      <c r="J103" s="571"/>
      <c r="K103" s="1500"/>
      <c r="L103" s="214"/>
      <c r="M103" s="341"/>
      <c r="N103" s="334"/>
      <c r="O103" s="1624"/>
      <c r="P103" s="1624"/>
      <c r="AH103" s="1631">
        <v>0</v>
      </c>
    </row>
    <row r="104" s="1635" customFormat="1" ht="0.75" hidden="1" customHeight="1">
      <c r="A104" s="1780"/>
      <c r="B104" s="1780"/>
      <c r="C104" s="369" t="s">
        <v>1156</v>
      </c>
      <c r="D104" s="2462"/>
      <c r="E104" s="2204"/>
      <c r="F104" s="2383"/>
      <c r="G104" s="400"/>
      <c r="H104" s="1500"/>
      <c r="I104" s="651"/>
      <c r="J104" s="571"/>
      <c r="K104" s="1500"/>
      <c r="L104" s="214"/>
      <c r="M104" s="341"/>
      <c r="N104" s="334"/>
      <c r="O104" s="1624"/>
      <c r="P104" s="1624"/>
      <c r="AH104" s="1631">
        <v>0</v>
      </c>
    </row>
    <row r="105" s="1635" customFormat="1" ht="18.75" hidden="1" customHeight="1">
      <c r="A105" s="1780" t="s">
        <v>195</v>
      </c>
      <c r="B105" s="1780" t="s">
        <v>196</v>
      </c>
      <c r="C105" s="369"/>
      <c r="D105" s="2462"/>
      <c r="E105" s="2204"/>
      <c r="F105" s="2383" t="str">
        <f>INDEX(PT_DIFFERENTIATION_VTAR,MATCH(A105,PT_DIFFERENTIATION_VTAR_ID,0))</f>
        <v xml:space="preserve">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308</v>
      </c>
      <c r="M105" s="341"/>
      <c r="N105" s="334"/>
      <c r="O105" s="1624"/>
      <c r="P105" s="1624"/>
      <c r="AH105" s="1631">
        <v>0</v>
      </c>
    </row>
    <row r="106" s="1635" customFormat="1" ht="18.75" hidden="1" customHeight="1">
      <c r="A106" s="1780"/>
      <c r="B106" s="1780"/>
      <c r="C106" s="369" t="s">
        <v>1149</v>
      </c>
      <c r="D106" s="2462"/>
      <c r="E106" s="2204"/>
      <c r="F106" s="2383"/>
      <c r="G106" s="2427"/>
      <c r="H106" s="1500"/>
      <c r="I106" s="651" t="s">
        <v>1148</v>
      </c>
      <c r="J106" s="571"/>
      <c r="K106" s="1500"/>
      <c r="L106" s="214"/>
      <c r="M106" s="341"/>
      <c r="N106" s="334"/>
      <c r="O106" s="1624"/>
      <c r="P106" s="1624"/>
      <c r="AH106" s="1631">
        <v>0</v>
      </c>
    </row>
    <row r="107" s="1635" customFormat="1" ht="0.75" hidden="1" customHeight="1">
      <c r="A107" s="1780"/>
      <c r="B107" s="1780"/>
      <c r="C107" s="369" t="s">
        <v>1156</v>
      </c>
      <c r="D107" s="2462"/>
      <c r="E107" s="2204"/>
      <c r="F107" s="2383"/>
      <c r="G107" s="400"/>
      <c r="H107" s="1500"/>
      <c r="I107" s="651"/>
      <c r="J107" s="571"/>
      <c r="K107" s="1500"/>
      <c r="L107" s="214"/>
      <c r="M107" s="341"/>
      <c r="N107" s="334"/>
      <c r="O107" s="1624"/>
      <c r="P107" s="1624"/>
      <c r="AH107" s="1631">
        <v>0</v>
      </c>
    </row>
    <row r="108" s="1635" customFormat="1" ht="18.75" hidden="1" customHeight="1">
      <c r="A108" s="1780" t="s">
        <v>201</v>
      </c>
      <c r="B108" s="1780" t="s">
        <v>202</v>
      </c>
      <c r="C108" s="369"/>
      <c r="D108" s="2462"/>
      <c r="E108" s="2204"/>
      <c r="F108" s="2383" t="str">
        <f>INDEX(PT_DIFFERENTIATION_VTAR,MATCH(A108,PT_DIFFERENTIATION_VTAR_ID,0))</f>
        <v xml:space="preserve">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308</v>
      </c>
      <c r="M108" s="341"/>
      <c r="N108" s="334"/>
      <c r="O108" s="1624"/>
      <c r="P108" s="1624"/>
      <c r="AH108" s="1631">
        <v>0</v>
      </c>
    </row>
    <row r="109" s="1635" customFormat="1" ht="18.75" hidden="1" customHeight="1">
      <c r="A109" s="1780"/>
      <c r="B109" s="1780"/>
      <c r="C109" s="369" t="s">
        <v>1149</v>
      </c>
      <c r="D109" s="2462"/>
      <c r="E109" s="2204"/>
      <c r="F109" s="2383"/>
      <c r="G109" s="2427"/>
      <c r="H109" s="1500"/>
      <c r="I109" s="651" t="s">
        <v>1148</v>
      </c>
      <c r="J109" s="571"/>
      <c r="K109" s="1500"/>
      <c r="L109" s="214"/>
      <c r="M109" s="341"/>
      <c r="N109" s="334"/>
      <c r="O109" s="1624"/>
      <c r="P109" s="1624"/>
      <c r="AH109" s="1631">
        <v>0</v>
      </c>
    </row>
    <row r="110" s="1635" customFormat="1" ht="0.75" hidden="1" customHeight="1">
      <c r="A110" s="1780"/>
      <c r="B110" s="1780"/>
      <c r="C110" s="369" t="s">
        <v>1156</v>
      </c>
      <c r="D110" s="2462"/>
      <c r="E110" s="2204"/>
      <c r="F110" s="2383"/>
      <c r="G110" s="400"/>
      <c r="H110" s="1500"/>
      <c r="I110" s="651"/>
      <c r="J110" s="571"/>
      <c r="K110" s="1500"/>
      <c r="L110" s="214"/>
      <c r="M110" s="341"/>
      <c r="N110" s="334"/>
      <c r="O110" s="1624"/>
      <c r="P110" s="1624"/>
      <c r="AH110" s="1631">
        <v>0</v>
      </c>
    </row>
    <row r="111" s="1635" customFormat="1" ht="18.75" hidden="1" customHeight="1">
      <c r="A111" s="1780" t="s">
        <v>207</v>
      </c>
      <c r="B111" s="1780" t="s">
        <v>208</v>
      </c>
      <c r="C111" s="369"/>
      <c r="D111" s="2462"/>
      <c r="E111" s="2204"/>
      <c r="F111" s="2383" t="str">
        <f>INDEX(PT_DIFFERENTIATION_VTAR,MATCH(A111,PT_DIFFERENTIATION_VTAR_ID,0))</f>
        <v xml:space="preserve">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308</v>
      </c>
      <c r="M111" s="341"/>
      <c r="N111" s="334"/>
      <c r="O111" s="1624"/>
      <c r="P111" s="1624"/>
      <c r="AH111" s="1631">
        <v>0</v>
      </c>
    </row>
    <row r="112" s="1635" customFormat="1" ht="18.75" hidden="1" customHeight="1">
      <c r="A112" s="1780"/>
      <c r="B112" s="1780"/>
      <c r="C112" s="369" t="s">
        <v>1149</v>
      </c>
      <c r="D112" s="2462"/>
      <c r="E112" s="2204"/>
      <c r="F112" s="2383"/>
      <c r="G112" s="2427"/>
      <c r="H112" s="1500"/>
      <c r="I112" s="651" t="s">
        <v>1148</v>
      </c>
      <c r="J112" s="571"/>
      <c r="K112" s="1500"/>
      <c r="L112" s="214"/>
      <c r="M112" s="341"/>
      <c r="N112" s="334"/>
      <c r="O112" s="1624"/>
      <c r="P112" s="1624"/>
      <c r="AH112" s="1631">
        <v>0</v>
      </c>
    </row>
    <row r="113" s="1635" customFormat="1" ht="0.75" hidden="1" customHeight="1">
      <c r="A113" s="1780"/>
      <c r="B113" s="1780"/>
      <c r="C113" s="369" t="s">
        <v>1156</v>
      </c>
      <c r="D113" s="2462"/>
      <c r="E113" s="2204"/>
      <c r="F113" s="2383"/>
      <c r="G113" s="400"/>
      <c r="H113" s="1500"/>
      <c r="I113" s="651"/>
      <c r="J113" s="571"/>
      <c r="K113" s="1500"/>
      <c r="L113" s="214"/>
      <c r="M113" s="341"/>
      <c r="N113" s="334"/>
      <c r="O113" s="1624"/>
      <c r="P113" s="1624"/>
      <c r="AH113" s="1631">
        <v>0</v>
      </c>
    </row>
    <row r="114" s="1635" customFormat="1" ht="18.75" hidden="1" customHeight="1">
      <c r="A114" s="1780" t="s">
        <v>227</v>
      </c>
      <c r="B114" s="1780" t="s">
        <v>228</v>
      </c>
      <c r="C114" s="369"/>
      <c r="D114" s="2462"/>
      <c r="E114" s="2204"/>
      <c r="F114" s="2383" t="str">
        <f>INDEX(PT_DIFFERENTIATION_VTAR,MATCH(A114,PT_DIFFERENTIATION_VTAR_ID,0))</f>
        <v xml:space="preserve">Тариф на питьевую воду (питьевое водоснабжение)</v>
      </c>
      <c r="G114" s="2427" t="str">
        <f>INDEX(PT_DIFFERENTIATION_NTAR,MATCH(B114,PT_DIFFERENTIATION_NTAR_ID,0))</f>
        <v/>
      </c>
      <c r="H114" s="1862"/>
      <c r="I114" s="1739"/>
      <c r="J114" s="1773"/>
      <c r="K114" s="1778"/>
      <c r="L114" s="1862" t="s">
        <v>308</v>
      </c>
      <c r="M114" s="341"/>
      <c r="N114" s="334"/>
      <c r="O114" s="1624"/>
      <c r="P114" s="1624"/>
      <c r="AH114" s="1631">
        <v>0</v>
      </c>
    </row>
    <row r="115" s="1635" customFormat="1" ht="18.75" hidden="1" customHeight="1">
      <c r="A115" s="1780"/>
      <c r="B115" s="1780"/>
      <c r="C115" s="369" t="s">
        <v>1149</v>
      </c>
      <c r="D115" s="2462"/>
      <c r="E115" s="2204"/>
      <c r="F115" s="2383"/>
      <c r="G115" s="2427"/>
      <c r="H115" s="1500"/>
      <c r="I115" s="651" t="s">
        <v>1148</v>
      </c>
      <c r="J115" s="571"/>
      <c r="K115" s="1500"/>
      <c r="L115" s="214"/>
      <c r="M115" s="341"/>
      <c r="N115" s="334"/>
      <c r="O115" s="1624"/>
      <c r="P115" s="1624"/>
      <c r="AH115" s="1631">
        <v>0</v>
      </c>
    </row>
    <row r="116" s="1635" customFormat="1" ht="0.75" hidden="1" customHeight="1">
      <c r="A116" s="1780"/>
      <c r="B116" s="1780"/>
      <c r="C116" s="369" t="s">
        <v>1156</v>
      </c>
      <c r="D116" s="2462"/>
      <c r="E116" s="2204"/>
      <c r="F116" s="2383"/>
      <c r="G116" s="400"/>
      <c r="H116" s="1500"/>
      <c r="I116" s="651"/>
      <c r="J116" s="571"/>
      <c r="K116" s="1500"/>
      <c r="L116" s="214"/>
      <c r="M116" s="341"/>
      <c r="N116" s="334"/>
      <c r="O116" s="1624"/>
      <c r="P116" s="1624"/>
      <c r="AH116" s="1631">
        <v>0</v>
      </c>
    </row>
    <row r="117" s="1635" customFormat="1" ht="18.75" hidden="1" customHeight="1">
      <c r="A117" s="1780" t="s">
        <v>232</v>
      </c>
      <c r="B117" s="1780" t="s">
        <v>233</v>
      </c>
      <c r="C117" s="369"/>
      <c r="D117" s="2462"/>
      <c r="E117" s="2204"/>
      <c r="F117" s="2383" t="str">
        <f>INDEX(PT_DIFFERENTIATION_VTAR,MATCH(A117,PT_DIFFERENTIATION_VTAR_ID,0))</f>
        <v xml:space="preserve">Тариф на техническую воду</v>
      </c>
      <c r="G117" s="2427" t="str">
        <f>INDEX(PT_DIFFERENTIATION_NTAR,MATCH(B117,PT_DIFFERENTIATION_NTAR_ID,0))</f>
        <v/>
      </c>
      <c r="H117" s="1862"/>
      <c r="I117" s="1739"/>
      <c r="J117" s="1773"/>
      <c r="K117" s="1778"/>
      <c r="L117" s="1862" t="s">
        <v>308</v>
      </c>
      <c r="M117" s="341"/>
      <c r="N117" s="334"/>
      <c r="O117" s="1624"/>
      <c r="P117" s="1624"/>
      <c r="AH117" s="1631">
        <v>0</v>
      </c>
    </row>
    <row r="118" s="1635" customFormat="1" ht="18.75" hidden="1" customHeight="1">
      <c r="A118" s="1780"/>
      <c r="B118" s="1780"/>
      <c r="C118" s="369" t="s">
        <v>1149</v>
      </c>
      <c r="D118" s="2462"/>
      <c r="E118" s="2204"/>
      <c r="F118" s="2383"/>
      <c r="G118" s="2427"/>
      <c r="H118" s="1500"/>
      <c r="I118" s="651" t="s">
        <v>1148</v>
      </c>
      <c r="J118" s="571"/>
      <c r="K118" s="1500"/>
      <c r="L118" s="214"/>
      <c r="M118" s="341"/>
      <c r="N118" s="334"/>
      <c r="O118" s="1624"/>
      <c r="P118" s="1624"/>
      <c r="AH118" s="1631">
        <v>0</v>
      </c>
    </row>
    <row r="119" s="1635" customFormat="1" ht="0.75" hidden="1" customHeight="1">
      <c r="A119" s="1780"/>
      <c r="B119" s="1780"/>
      <c r="C119" s="369" t="s">
        <v>1156</v>
      </c>
      <c r="D119" s="2462"/>
      <c r="E119" s="2204"/>
      <c r="F119" s="2383"/>
      <c r="G119" s="400"/>
      <c r="H119" s="1500"/>
      <c r="I119" s="651"/>
      <c r="J119" s="571"/>
      <c r="K119" s="1500"/>
      <c r="L119" s="214"/>
      <c r="M119" s="341"/>
      <c r="N119" s="334"/>
      <c r="O119" s="1624"/>
      <c r="P119" s="1624"/>
      <c r="AH119" s="1631">
        <v>0</v>
      </c>
    </row>
    <row r="120" s="1635" customFormat="1" ht="18.75" hidden="1" customHeight="1">
      <c r="A120" s="1780" t="s">
        <v>237</v>
      </c>
      <c r="B120" s="1780" t="s">
        <v>238</v>
      </c>
      <c r="C120" s="369"/>
      <c r="D120" s="2462"/>
      <c r="E120" s="2204"/>
      <c r="F120" s="2383" t="str">
        <f>INDEX(PT_DIFFERENTIATION_VTAR,MATCH(A120,PT_DIFFERENTIATION_VTAR_ID,0))</f>
        <v xml:space="preserve">Тариф на транспортировку воды</v>
      </c>
      <c r="G120" s="2427" t="str">
        <f>INDEX(PT_DIFFERENTIATION_NTAR,MATCH(B120,PT_DIFFERENTIATION_NTAR_ID,0))</f>
        <v/>
      </c>
      <c r="H120" s="1862"/>
      <c r="I120" s="1739"/>
      <c r="J120" s="1773"/>
      <c r="K120" s="1778"/>
      <c r="L120" s="1862" t="s">
        <v>308</v>
      </c>
      <c r="M120" s="341"/>
      <c r="N120" s="334"/>
      <c r="O120" s="1624"/>
      <c r="P120" s="1624"/>
      <c r="AH120" s="1631">
        <v>0</v>
      </c>
    </row>
    <row r="121" s="1635" customFormat="1" ht="18.75" hidden="1" customHeight="1">
      <c r="A121" s="1780"/>
      <c r="B121" s="1780"/>
      <c r="C121" s="369" t="s">
        <v>1149</v>
      </c>
      <c r="D121" s="2462"/>
      <c r="E121" s="2204"/>
      <c r="F121" s="2383"/>
      <c r="G121" s="2427"/>
      <c r="H121" s="1500"/>
      <c r="I121" s="651" t="s">
        <v>1148</v>
      </c>
      <c r="J121" s="571"/>
      <c r="K121" s="1500"/>
      <c r="L121" s="214"/>
      <c r="M121" s="341"/>
      <c r="N121" s="334"/>
      <c r="O121" s="1624"/>
      <c r="P121" s="1624"/>
      <c r="AH121" s="1631">
        <v>0</v>
      </c>
    </row>
    <row r="122" s="1635" customFormat="1" ht="0.75" hidden="1" customHeight="1">
      <c r="A122" s="1780"/>
      <c r="B122" s="1780"/>
      <c r="C122" s="369" t="s">
        <v>1156</v>
      </c>
      <c r="D122" s="2462"/>
      <c r="E122" s="2204"/>
      <c r="F122" s="2383"/>
      <c r="G122" s="400"/>
      <c r="H122" s="1500"/>
      <c r="I122" s="651"/>
      <c r="J122" s="571"/>
      <c r="K122" s="1500"/>
      <c r="L122" s="214"/>
      <c r="M122" s="341"/>
      <c r="N122" s="334"/>
      <c r="O122" s="1624"/>
      <c r="P122" s="1624"/>
      <c r="AH122" s="1631">
        <v>0</v>
      </c>
    </row>
    <row r="123" s="1635" customFormat="1" ht="18.75" hidden="1" customHeight="1">
      <c r="A123" s="1780" t="s">
        <v>242</v>
      </c>
      <c r="B123" s="1780" t="s">
        <v>243</v>
      </c>
      <c r="C123" s="369"/>
      <c r="D123" s="2462"/>
      <c r="E123" s="2204"/>
      <c r="F123" s="2383" t="str">
        <f>INDEX(PT_DIFFERENTIATION_VTAR,MATCH(A123,PT_DIFFERENTIATION_VTAR_ID,0))</f>
        <v xml:space="preserve">Тариф на подвоз воды</v>
      </c>
      <c r="G123" s="2427" t="str">
        <f>INDEX(PT_DIFFERENTIATION_NTAR,MATCH(B123,PT_DIFFERENTIATION_NTAR_ID,0))</f>
        <v/>
      </c>
      <c r="H123" s="1862"/>
      <c r="I123" s="1739"/>
      <c r="J123" s="1773"/>
      <c r="K123" s="1778"/>
      <c r="L123" s="1862" t="s">
        <v>308</v>
      </c>
      <c r="M123" s="341"/>
      <c r="N123" s="334"/>
      <c r="O123" s="1624"/>
      <c r="P123" s="1624"/>
      <c r="AH123" s="1631">
        <v>0</v>
      </c>
    </row>
    <row r="124" s="1635" customFormat="1" ht="18.75" hidden="1" customHeight="1">
      <c r="A124" s="1780"/>
      <c r="B124" s="1780"/>
      <c r="C124" s="369" t="s">
        <v>1149</v>
      </c>
      <c r="D124" s="2462"/>
      <c r="E124" s="2204"/>
      <c r="F124" s="2383"/>
      <c r="G124" s="2427"/>
      <c r="H124" s="1500"/>
      <c r="I124" s="651" t="s">
        <v>1148</v>
      </c>
      <c r="J124" s="571"/>
      <c r="K124" s="1500"/>
      <c r="L124" s="214"/>
      <c r="M124" s="341"/>
      <c r="N124" s="334"/>
      <c r="O124" s="1624"/>
      <c r="P124" s="1624"/>
      <c r="AH124" s="1631">
        <v>0</v>
      </c>
    </row>
    <row r="125" s="1635" customFormat="1" ht="0.75" hidden="1" customHeight="1">
      <c r="A125" s="1780"/>
      <c r="B125" s="1780"/>
      <c r="C125" s="369" t="s">
        <v>1156</v>
      </c>
      <c r="D125" s="2462"/>
      <c r="E125" s="2204"/>
      <c r="F125" s="2383"/>
      <c r="G125" s="400"/>
      <c r="H125" s="1500"/>
      <c r="I125" s="651"/>
      <c r="J125" s="571"/>
      <c r="K125" s="1500"/>
      <c r="L125" s="214"/>
      <c r="M125" s="341"/>
      <c r="N125" s="334"/>
      <c r="O125" s="1624"/>
      <c r="P125" s="1624"/>
      <c r="AH125" s="1631">
        <v>0</v>
      </c>
    </row>
    <row r="126" s="1635" customFormat="1" ht="18.75" hidden="1" customHeight="1">
      <c r="A126" s="1780" t="s">
        <v>247</v>
      </c>
      <c r="B126" s="1780" t="s">
        <v>248</v>
      </c>
      <c r="C126" s="369"/>
      <c r="D126" s="2462"/>
      <c r="E126" s="2204"/>
      <c r="F126" s="2383" t="str">
        <f>INDEX(PT_DIFFERENTIATION_VTAR,MATCH(A126,PT_DIFFERENTIATION_VTAR_ID,0))</f>
        <v xml:space="preserve">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308</v>
      </c>
      <c r="M126" s="341"/>
      <c r="N126" s="334"/>
      <c r="O126" s="1624"/>
      <c r="P126" s="1624"/>
      <c r="AH126" s="1631">
        <v>0</v>
      </c>
    </row>
    <row r="127" s="1635" customFormat="1" ht="18.75" hidden="1" customHeight="1">
      <c r="A127" s="1780"/>
      <c r="B127" s="1780"/>
      <c r="C127" s="369" t="s">
        <v>1149</v>
      </c>
      <c r="D127" s="2462"/>
      <c r="E127" s="2204"/>
      <c r="F127" s="2383"/>
      <c r="G127" s="2427"/>
      <c r="H127" s="1500"/>
      <c r="I127" s="651" t="s">
        <v>1148</v>
      </c>
      <c r="J127" s="571"/>
      <c r="K127" s="1500"/>
      <c r="L127" s="214"/>
      <c r="M127" s="341"/>
      <c r="N127" s="334"/>
      <c r="O127" s="1624"/>
      <c r="P127" s="1624"/>
      <c r="AH127" s="1631">
        <v>0</v>
      </c>
    </row>
    <row r="128" s="1635" customFormat="1" ht="0.75" hidden="1" customHeight="1">
      <c r="A128" s="1780"/>
      <c r="B128" s="1780"/>
      <c r="C128" s="369" t="s">
        <v>1156</v>
      </c>
      <c r="D128" s="2462"/>
      <c r="E128" s="2204"/>
      <c r="F128" s="2383"/>
      <c r="G128" s="400"/>
      <c r="H128" s="1500"/>
      <c r="I128" s="651"/>
      <c r="J128" s="571"/>
      <c r="K128" s="1500"/>
      <c r="L128" s="214"/>
      <c r="M128" s="341"/>
      <c r="N128" s="334"/>
      <c r="O128" s="1624"/>
      <c r="P128" s="1624"/>
      <c r="AH128" s="1631">
        <v>0</v>
      </c>
    </row>
    <row r="129" s="1635" customFormat="1" ht="18.75" hidden="1" customHeight="1">
      <c r="A129" s="1780" t="s">
        <v>252</v>
      </c>
      <c r="B129" s="1780" t="s">
        <v>253</v>
      </c>
      <c r="C129" s="369"/>
      <c r="D129" s="2462"/>
      <c r="E129" s="2204"/>
      <c r="F129" s="2383" t="str">
        <f>INDEX(PT_DIFFERENTIATION_VTAR,MATCH(A129,PT_DIFFERENTIATION_VTAR_ID,0))</f>
        <v xml:space="preserve">Тариф на горячую воду (горячее водоснабжение)</v>
      </c>
      <c r="G129" s="2427" t="str">
        <f>INDEX(PT_DIFFERENTIATION_NTAR,MATCH(B129,PT_DIFFERENTIATION_NTAR_ID,0))</f>
        <v/>
      </c>
      <c r="H129" s="1862"/>
      <c r="I129" s="1739"/>
      <c r="J129" s="1773"/>
      <c r="K129" s="1778"/>
      <c r="L129" s="1862" t="s">
        <v>308</v>
      </c>
      <c r="M129" s="341"/>
      <c r="N129" s="334"/>
      <c r="O129" s="1624"/>
      <c r="P129" s="1624"/>
      <c r="AH129" s="1631">
        <v>0</v>
      </c>
    </row>
    <row r="130" s="1635" customFormat="1" ht="18.75" hidden="1" customHeight="1">
      <c r="A130" s="1780"/>
      <c r="B130" s="1780"/>
      <c r="C130" s="369" t="s">
        <v>1149</v>
      </c>
      <c r="D130" s="2462"/>
      <c r="E130" s="2204"/>
      <c r="F130" s="2383"/>
      <c r="G130" s="2427"/>
      <c r="H130" s="1500"/>
      <c r="I130" s="651" t="s">
        <v>1148</v>
      </c>
      <c r="J130" s="571"/>
      <c r="K130" s="1500"/>
      <c r="L130" s="214"/>
      <c r="M130" s="341"/>
      <c r="N130" s="334"/>
      <c r="O130" s="1624"/>
      <c r="P130" s="1624"/>
      <c r="AH130" s="1631">
        <v>0</v>
      </c>
    </row>
    <row r="131" s="1635" customFormat="1" ht="0.75" hidden="1" customHeight="1">
      <c r="A131" s="1780"/>
      <c r="B131" s="1780"/>
      <c r="C131" s="369" t="s">
        <v>1156</v>
      </c>
      <c r="D131" s="2462"/>
      <c r="E131" s="2204"/>
      <c r="F131" s="2383"/>
      <c r="G131" s="400"/>
      <c r="H131" s="1500"/>
      <c r="I131" s="651"/>
      <c r="J131" s="571"/>
      <c r="K131" s="1500"/>
      <c r="L131" s="214"/>
      <c r="M131" s="341"/>
      <c r="N131" s="334"/>
      <c r="O131" s="1624"/>
      <c r="P131" s="1624"/>
      <c r="AH131" s="1631">
        <v>0</v>
      </c>
    </row>
    <row r="132" s="1635" customFormat="1" ht="18.75" hidden="1" customHeight="1">
      <c r="A132" s="1780" t="s">
        <v>257</v>
      </c>
      <c r="B132" s="1780" t="s">
        <v>258</v>
      </c>
      <c r="C132" s="369"/>
      <c r="D132" s="2462"/>
      <c r="E132" s="2204"/>
      <c r="F132" s="2383" t="str">
        <f>INDEX(PT_DIFFERENTIATION_VTAR,MATCH(A132,PT_DIFFERENTIATION_VTAR_ID,0))</f>
        <v xml:space="preserve">Тариф на транспортировку горячей воды</v>
      </c>
      <c r="G132" s="2427" t="str">
        <f>INDEX(PT_DIFFERENTIATION_NTAR,MATCH(B132,PT_DIFFERENTIATION_NTAR_ID,0))</f>
        <v/>
      </c>
      <c r="H132" s="1862"/>
      <c r="I132" s="1739"/>
      <c r="J132" s="1773"/>
      <c r="K132" s="1778"/>
      <c r="L132" s="1862" t="s">
        <v>308</v>
      </c>
      <c r="M132" s="341"/>
      <c r="N132" s="334"/>
      <c r="O132" s="1624"/>
      <c r="P132" s="1624"/>
      <c r="AH132" s="1631">
        <v>0</v>
      </c>
    </row>
    <row r="133" s="1635" customFormat="1" ht="18.75" hidden="1" customHeight="1">
      <c r="A133" s="1780"/>
      <c r="B133" s="1780"/>
      <c r="C133" s="369" t="s">
        <v>1149</v>
      </c>
      <c r="D133" s="2462"/>
      <c r="E133" s="2204"/>
      <c r="F133" s="2383"/>
      <c r="G133" s="2427"/>
      <c r="H133" s="1500"/>
      <c r="I133" s="651" t="s">
        <v>1148</v>
      </c>
      <c r="J133" s="571"/>
      <c r="K133" s="1500"/>
      <c r="L133" s="214"/>
      <c r="M133" s="341"/>
      <c r="N133" s="334"/>
      <c r="O133" s="1624"/>
      <c r="P133" s="1624"/>
      <c r="AH133" s="1631">
        <v>0</v>
      </c>
    </row>
    <row r="134" s="1635" customFormat="1" ht="0.75" hidden="1" customHeight="1">
      <c r="A134" s="1780"/>
      <c r="B134" s="1780"/>
      <c r="C134" s="369" t="s">
        <v>1156</v>
      </c>
      <c r="D134" s="2462"/>
      <c r="E134" s="2204"/>
      <c r="F134" s="2383"/>
      <c r="G134" s="400"/>
      <c r="H134" s="1500"/>
      <c r="I134" s="651"/>
      <c r="J134" s="571"/>
      <c r="K134" s="1500"/>
      <c r="L134" s="214"/>
      <c r="M134" s="341"/>
      <c r="N134" s="334"/>
      <c r="O134" s="1624"/>
      <c r="P134" s="1624"/>
      <c r="AH134" s="1631">
        <v>0</v>
      </c>
    </row>
    <row r="135" s="1635" customFormat="1" ht="18.75" hidden="1" customHeight="1">
      <c r="A135" s="1780" t="s">
        <v>262</v>
      </c>
      <c r="B135" s="1780" t="s">
        <v>263</v>
      </c>
      <c r="C135" s="369"/>
      <c r="D135" s="2462"/>
      <c r="E135" s="2204"/>
      <c r="F135" s="2383" t="str">
        <f>INDEX(PT_DIFFERENTIATION_VTAR,MATCH(A135,PT_DIFFERENTIATION_VTAR_ID,0))</f>
        <v xml:space="preserve">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308</v>
      </c>
      <c r="M135" s="341"/>
      <c r="N135" s="334"/>
      <c r="O135" s="1624"/>
      <c r="P135" s="1624"/>
      <c r="AH135" s="1631">
        <v>0</v>
      </c>
    </row>
    <row r="136" s="1635" customFormat="1" ht="18.75" hidden="1" customHeight="1">
      <c r="A136" s="1780"/>
      <c r="B136" s="1780"/>
      <c r="C136" s="369" t="s">
        <v>1149</v>
      </c>
      <c r="D136" s="2462"/>
      <c r="E136" s="2204"/>
      <c r="F136" s="2383"/>
      <c r="G136" s="2427"/>
      <c r="H136" s="1500"/>
      <c r="I136" s="651" t="s">
        <v>1148</v>
      </c>
      <c r="J136" s="571"/>
      <c r="K136" s="1500"/>
      <c r="L136" s="214"/>
      <c r="M136" s="341"/>
      <c r="N136" s="334"/>
      <c r="O136" s="1624"/>
      <c r="P136" s="1624"/>
      <c r="AH136" s="1631">
        <v>0</v>
      </c>
    </row>
    <row r="137" s="1635" customFormat="1" ht="0.75" hidden="1" customHeight="1">
      <c r="A137" s="1780"/>
      <c r="B137" s="1780"/>
      <c r="C137" s="369" t="s">
        <v>1156</v>
      </c>
      <c r="D137" s="2462"/>
      <c r="E137" s="2204"/>
      <c r="F137" s="2383"/>
      <c r="G137" s="400"/>
      <c r="H137" s="1500"/>
      <c r="I137" s="651"/>
      <c r="J137" s="571"/>
      <c r="K137" s="1500"/>
      <c r="L137" s="214"/>
      <c r="M137" s="341"/>
      <c r="N137" s="334"/>
      <c r="O137" s="1624"/>
      <c r="P137" s="1624"/>
      <c r="AH137" s="1631">
        <v>0</v>
      </c>
    </row>
    <row r="138" s="1635" customFormat="1" ht="18.75" hidden="1" customHeight="1">
      <c r="A138" s="1780" t="s">
        <v>267</v>
      </c>
      <c r="B138" s="1780" t="s">
        <v>268</v>
      </c>
      <c r="C138" s="369"/>
      <c r="D138" s="2462"/>
      <c r="E138" s="2204"/>
      <c r="F138" s="2383" t="str">
        <f>INDEX(PT_DIFFERENTIATION_VTAR,MATCH(A138,PT_DIFFERENTIATION_VTAR_ID,0))</f>
        <v xml:space="preserve">Тариф на водоотведение</v>
      </c>
      <c r="G138" s="2427" t="str">
        <f>INDEX(PT_DIFFERENTIATION_NTAR,MATCH(B138,PT_DIFFERENTIATION_NTAR_ID,0))</f>
        <v/>
      </c>
      <c r="H138" s="1862"/>
      <c r="I138" s="1739"/>
      <c r="J138" s="1773"/>
      <c r="K138" s="1778"/>
      <c r="L138" s="1862" t="s">
        <v>308</v>
      </c>
      <c r="M138" s="341"/>
      <c r="N138" s="334"/>
      <c r="O138" s="1624"/>
      <c r="P138" s="1624"/>
      <c r="AH138" s="1631">
        <v>0</v>
      </c>
    </row>
    <row r="139" s="1635" customFormat="1" ht="18.75" hidden="1" customHeight="1">
      <c r="A139" s="1780"/>
      <c r="B139" s="1780"/>
      <c r="C139" s="369" t="s">
        <v>1149</v>
      </c>
      <c r="D139" s="2462"/>
      <c r="E139" s="2204"/>
      <c r="F139" s="2383"/>
      <c r="G139" s="2427"/>
      <c r="H139" s="1500"/>
      <c r="I139" s="651" t="s">
        <v>1148</v>
      </c>
      <c r="J139" s="571"/>
      <c r="K139" s="1500"/>
      <c r="L139" s="214"/>
      <c r="M139" s="341"/>
      <c r="N139" s="334"/>
      <c r="O139" s="1624"/>
      <c r="P139" s="1624"/>
      <c r="AH139" s="1631">
        <v>0</v>
      </c>
    </row>
    <row r="140" s="1635" customFormat="1" ht="0.75" hidden="1" customHeight="1">
      <c r="A140" s="1780"/>
      <c r="B140" s="1780"/>
      <c r="C140" s="369" t="s">
        <v>1156</v>
      </c>
      <c r="D140" s="2462"/>
      <c r="E140" s="2204"/>
      <c r="F140" s="2383"/>
      <c r="G140" s="400"/>
      <c r="H140" s="1500"/>
      <c r="I140" s="651"/>
      <c r="J140" s="571"/>
      <c r="K140" s="1500"/>
      <c r="L140" s="214"/>
      <c r="M140" s="341"/>
      <c r="N140" s="334"/>
      <c r="O140" s="1624"/>
      <c r="P140" s="1624"/>
      <c r="AH140" s="1631">
        <v>0</v>
      </c>
    </row>
    <row r="141" s="1635" customFormat="1" ht="18.75" hidden="1" customHeight="1">
      <c r="A141" s="1780" t="s">
        <v>272</v>
      </c>
      <c r="B141" s="1780" t="s">
        <v>273</v>
      </c>
      <c r="C141" s="369"/>
      <c r="D141" s="2462"/>
      <c r="E141" s="2204"/>
      <c r="F141" s="2383" t="str">
        <f>INDEX(PT_DIFFERENTIATION_VTAR,MATCH(A141,PT_DIFFERENTIATION_VTAR_ID,0))</f>
        <v xml:space="preserve">Тариф на транспортировку сточных вод</v>
      </c>
      <c r="G141" s="2427" t="str">
        <f>INDEX(PT_DIFFERENTIATION_NTAR,MATCH(B141,PT_DIFFERENTIATION_NTAR_ID,0))</f>
        <v/>
      </c>
      <c r="H141" s="1862"/>
      <c r="I141" s="1739"/>
      <c r="J141" s="1773"/>
      <c r="K141" s="1778"/>
      <c r="L141" s="1862" t="s">
        <v>308</v>
      </c>
      <c r="M141" s="341"/>
      <c r="N141" s="334"/>
      <c r="O141" s="1624"/>
      <c r="P141" s="1624"/>
      <c r="AH141" s="1631">
        <v>0</v>
      </c>
    </row>
    <row r="142" s="1635" customFormat="1" ht="18.75" hidden="1" customHeight="1">
      <c r="A142" s="1780"/>
      <c r="B142" s="1780"/>
      <c r="C142" s="369" t="s">
        <v>1149</v>
      </c>
      <c r="D142" s="2462"/>
      <c r="E142" s="2204"/>
      <c r="F142" s="2383"/>
      <c r="G142" s="2427"/>
      <c r="H142" s="1500"/>
      <c r="I142" s="651" t="s">
        <v>1148</v>
      </c>
      <c r="J142" s="571"/>
      <c r="K142" s="1500"/>
      <c r="L142" s="214"/>
      <c r="M142" s="341"/>
      <c r="N142" s="334"/>
      <c r="O142" s="1624"/>
      <c r="P142" s="1624"/>
      <c r="AH142" s="1631">
        <v>0</v>
      </c>
    </row>
    <row r="143" s="1635" customFormat="1" ht="0.75" hidden="1" customHeight="1">
      <c r="A143" s="1780"/>
      <c r="B143" s="1780"/>
      <c r="C143" s="369" t="s">
        <v>1156</v>
      </c>
      <c r="D143" s="2462"/>
      <c r="E143" s="2204"/>
      <c r="F143" s="2383"/>
      <c r="G143" s="400"/>
      <c r="H143" s="1500"/>
      <c r="I143" s="651"/>
      <c r="J143" s="571"/>
      <c r="K143" s="1500"/>
      <c r="L143" s="214"/>
      <c r="M143" s="341"/>
      <c r="N143" s="334"/>
      <c r="O143" s="1624"/>
      <c r="P143" s="1624"/>
      <c r="AH143" s="1631">
        <v>0</v>
      </c>
    </row>
    <row r="144" s="1635" customFormat="1" ht="18.75" hidden="1" customHeight="1">
      <c r="A144" s="1780" t="s">
        <v>277</v>
      </c>
      <c r="B144" s="1780" t="s">
        <v>278</v>
      </c>
      <c r="C144" s="369"/>
      <c r="D144" s="2462"/>
      <c r="E144" s="2204"/>
      <c r="F144" s="2383" t="str">
        <f>INDEX(PT_DIFFERENTIATION_VTAR,MATCH(A144,PT_DIFFERENTIATION_VTAR_ID,0))</f>
        <v xml:space="preserve">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308</v>
      </c>
      <c r="M144" s="341"/>
      <c r="N144" s="334"/>
      <c r="O144" s="1624"/>
      <c r="P144" s="1624"/>
      <c r="AH144" s="1631">
        <v>0</v>
      </c>
    </row>
    <row r="145" s="1635" customFormat="1" ht="18.75" hidden="1" customHeight="1">
      <c r="A145" s="1780"/>
      <c r="B145" s="1780"/>
      <c r="C145" s="369" t="s">
        <v>1149</v>
      </c>
      <c r="D145" s="2462"/>
      <c r="E145" s="2204"/>
      <c r="F145" s="2383"/>
      <c r="G145" s="2427"/>
      <c r="H145" s="1500"/>
      <c r="I145" s="651" t="s">
        <v>1148</v>
      </c>
      <c r="J145" s="571"/>
      <c r="K145" s="1500"/>
      <c r="L145" s="214"/>
      <c r="M145" s="341"/>
      <c r="N145" s="334"/>
      <c r="O145" s="1624"/>
      <c r="P145" s="1624"/>
      <c r="AH145" s="1631">
        <v>0</v>
      </c>
    </row>
    <row r="146" s="1635" customFormat="1" ht="1.05" customHeight="1">
      <c r="A146" s="1780"/>
      <c r="B146" s="1780"/>
      <c r="C146" s="369" t="s">
        <v>1156</v>
      </c>
      <c r="D146" s="2462"/>
      <c r="E146" s="2204"/>
      <c r="F146" s="2383"/>
      <c r="G146" s="400"/>
      <c r="H146" s="1500"/>
      <c r="I146" s="651"/>
      <c r="J146" s="571"/>
      <c r="K146" s="1500"/>
      <c r="L146" s="214"/>
      <c r="M146" s="341"/>
      <c r="N146" s="334"/>
      <c r="O146" s="1624"/>
      <c r="P146" s="1624"/>
      <c r="AH146" s="1631">
        <v>1</v>
      </c>
    </row>
    <row r="147" ht="19.949999999999999" customHeight="1">
      <c r="A147" s="1780"/>
      <c r="B147" s="1780"/>
      <c r="D147" s="376"/>
      <c r="E147" s="147" t="s">
        <v>90</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 xml:space="preserve">Годовой объем принятых сточных вод</v>
      </c>
      <c r="G147" s="2460"/>
      <c r="H147" s="2460"/>
      <c r="I147" s="2460"/>
      <c r="J147" s="2460"/>
      <c r="K147" s="2460"/>
      <c r="L147" s="2460"/>
      <c r="M147" s="297"/>
      <c r="N147" s="334"/>
      <c r="AH147" s="374">
        <v>19</v>
      </c>
    </row>
    <row r="148" s="1635" customFormat="1" ht="60.75" hidden="1" customHeight="1">
      <c r="A148" s="1780" t="s">
        <v>159</v>
      </c>
      <c r="B148" s="1780" t="s">
        <v>160</v>
      </c>
      <c r="C148" s="369"/>
      <c r="D148" s="2462"/>
      <c r="E148" s="2204"/>
      <c r="F148" s="2383" t="str">
        <f>INDEX(PT_DIFFERENTIATION_VTAR,MATCH(A148,PT_DIFFERENTIATION_VTAR_ID,0))</f>
        <v xml:space="preserve">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308</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 xml:space="preserve">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4"/>
      <c r="O148" s="1624"/>
      <c r="P148" s="1624"/>
      <c r="AH148" s="1631">
        <v>0</v>
      </c>
    </row>
    <row r="149" s="1635" customFormat="1" ht="18.75" hidden="1" customHeight="1">
      <c r="A149" s="1780"/>
      <c r="B149" s="1780"/>
      <c r="C149" s="369" t="s">
        <v>1149</v>
      </c>
      <c r="D149" s="2462"/>
      <c r="E149" s="2204"/>
      <c r="F149" s="2383"/>
      <c r="G149" s="2427"/>
      <c r="H149" s="1500"/>
      <c r="I149" s="651" t="s">
        <v>1148</v>
      </c>
      <c r="J149" s="571"/>
      <c r="K149" s="1500"/>
      <c r="L149" s="214"/>
      <c r="M149" s="2170"/>
      <c r="N149" s="334"/>
      <c r="O149" s="1624"/>
      <c r="P149" s="1624"/>
      <c r="AH149" s="1631">
        <v>0</v>
      </c>
    </row>
    <row r="150" s="1635" customFormat="1" ht="0.75" hidden="1" customHeight="1">
      <c r="A150" s="1780"/>
      <c r="B150" s="1780"/>
      <c r="C150" s="369" t="s">
        <v>1156</v>
      </c>
      <c r="D150" s="2462"/>
      <c r="E150" s="2204"/>
      <c r="F150" s="2383"/>
      <c r="G150" s="400"/>
      <c r="H150" s="1500"/>
      <c r="I150" s="651"/>
      <c r="J150" s="571"/>
      <c r="K150" s="1500"/>
      <c r="L150" s="214"/>
      <c r="M150" s="2170"/>
      <c r="N150" s="334"/>
      <c r="O150" s="1624"/>
      <c r="P150" s="1624"/>
      <c r="AH150" s="1631">
        <v>0</v>
      </c>
    </row>
    <row r="151" s="1635" customFormat="1" ht="45" hidden="1" customHeight="1">
      <c r="A151" s="1780" t="s">
        <v>164</v>
      </c>
      <c r="B151" s="1780" t="s">
        <v>165</v>
      </c>
      <c r="C151" s="369"/>
      <c r="D151" s="2462"/>
      <c r="E151" s="2204"/>
      <c r="F151" s="2383" t="str">
        <f>INDEX(PT_DIFFERENTIATION_VTAR,MATCH(A151,PT_DIFFERENTIATION_VTAR_ID,0))</f>
        <v/>
      </c>
      <c r="G151" s="2427" t="str">
        <f>INDEX(PT_DIFFERENTIATION_NTAR,MATCH(B151,PT_DIFFERENTIATION_NTAR_ID,0))</f>
        <v/>
      </c>
      <c r="H151" s="1862"/>
      <c r="I151" s="1739"/>
      <c r="J151" s="1773"/>
      <c r="K151" s="1778"/>
      <c r="L151" s="1862" t="s">
        <v>308</v>
      </c>
      <c r="M151" s="2171"/>
      <c r="N151" s="334"/>
      <c r="O151" s="1624"/>
      <c r="P151" s="1624"/>
      <c r="AH151" s="1631">
        <v>0</v>
      </c>
    </row>
    <row r="152" s="1635" customFormat="1" ht="18.75" hidden="1" customHeight="1">
      <c r="A152" s="1780"/>
      <c r="B152" s="1780"/>
      <c r="C152" s="369" t="s">
        <v>1149</v>
      </c>
      <c r="D152" s="2462"/>
      <c r="E152" s="2204"/>
      <c r="F152" s="2383"/>
      <c r="G152" s="2427"/>
      <c r="H152" s="1500"/>
      <c r="I152" s="651" t="s">
        <v>1148</v>
      </c>
      <c r="J152" s="571"/>
      <c r="K152" s="1500"/>
      <c r="L152" s="214"/>
      <c r="M152" s="1861"/>
      <c r="N152" s="334"/>
      <c r="O152" s="1624"/>
      <c r="P152" s="1624"/>
      <c r="AH152" s="1631">
        <v>0</v>
      </c>
    </row>
    <row r="153" s="1635" customFormat="1" ht="0.75" hidden="1" customHeight="1">
      <c r="A153" s="1780"/>
      <c r="B153" s="1780"/>
      <c r="C153" s="369" t="s">
        <v>1156</v>
      </c>
      <c r="D153" s="2462"/>
      <c r="E153" s="2204"/>
      <c r="F153" s="2383"/>
      <c r="G153" s="400"/>
      <c r="H153" s="1500"/>
      <c r="I153" s="651"/>
      <c r="J153" s="571"/>
      <c r="K153" s="1500"/>
      <c r="L153" s="214"/>
      <c r="M153" s="341"/>
      <c r="N153" s="334"/>
      <c r="O153" s="1624"/>
      <c r="P153" s="1624"/>
      <c r="AH153" s="1631">
        <v>0</v>
      </c>
    </row>
    <row r="154" s="1635" customFormat="1" ht="45" hidden="1" customHeight="1">
      <c r="A154" s="1780" t="s">
        <v>171</v>
      </c>
      <c r="B154" s="1780" t="s">
        <v>172</v>
      </c>
      <c r="C154" s="369"/>
      <c r="D154" s="2462"/>
      <c r="E154" s="2204"/>
      <c r="F154" s="2383" t="str">
        <f>INDEX(PT_DIFFERENTIATION_VTAR,MATCH(A154,PT_DIFFERENTIATION_VTAR_ID,0))</f>
        <v xml:space="preserve">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308</v>
      </c>
      <c r="M154" s="341"/>
      <c r="N154" s="334"/>
      <c r="O154" s="1624"/>
      <c r="P154" s="1624"/>
      <c r="AH154" s="1631">
        <v>0</v>
      </c>
    </row>
    <row r="155" s="1635" customFormat="1" ht="18.75" hidden="1" customHeight="1">
      <c r="A155" s="1780"/>
      <c r="B155" s="1780"/>
      <c r="C155" s="369" t="s">
        <v>1149</v>
      </c>
      <c r="D155" s="2462"/>
      <c r="E155" s="2204"/>
      <c r="F155" s="2383"/>
      <c r="G155" s="2427"/>
      <c r="H155" s="1500"/>
      <c r="I155" s="651" t="s">
        <v>1148</v>
      </c>
      <c r="J155" s="571"/>
      <c r="K155" s="1500"/>
      <c r="L155" s="214"/>
      <c r="M155" s="341"/>
      <c r="N155" s="334"/>
      <c r="O155" s="1624"/>
      <c r="P155" s="1624"/>
      <c r="AH155" s="1631">
        <v>0</v>
      </c>
    </row>
    <row r="156" s="1635" customFormat="1" ht="0.75" hidden="1" customHeight="1">
      <c r="A156" s="1780"/>
      <c r="B156" s="1780"/>
      <c r="C156" s="369" t="s">
        <v>1156</v>
      </c>
      <c r="D156" s="2462"/>
      <c r="E156" s="2204"/>
      <c r="F156" s="2383"/>
      <c r="G156" s="400"/>
      <c r="H156" s="1500"/>
      <c r="I156" s="651"/>
      <c r="J156" s="571"/>
      <c r="K156" s="1500"/>
      <c r="L156" s="214"/>
      <c r="M156" s="341"/>
      <c r="N156" s="334"/>
      <c r="O156" s="1624"/>
      <c r="P156" s="1624"/>
      <c r="AH156" s="1631">
        <v>0</v>
      </c>
    </row>
    <row r="157" s="1635" customFormat="1" ht="45" hidden="1" customHeight="1">
      <c r="A157" s="1780" t="s">
        <v>177</v>
      </c>
      <c r="B157" s="1780" t="s">
        <v>178</v>
      </c>
      <c r="C157" s="369"/>
      <c r="D157" s="2462"/>
      <c r="E157" s="2204"/>
      <c r="F157" s="2383" t="str">
        <f>INDEX(PT_DIFFERENTIATION_VTAR,MATCH(A157,PT_DIFFERENTIATION_VTAR_ID,0))</f>
        <v xml:space="preserve">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308</v>
      </c>
      <c r="M157" s="341"/>
      <c r="N157" s="334"/>
      <c r="O157" s="1624"/>
      <c r="P157" s="1624"/>
      <c r="AH157" s="1631">
        <v>0</v>
      </c>
    </row>
    <row r="158" s="1635" customFormat="1" ht="18.75" hidden="1" customHeight="1">
      <c r="A158" s="1780"/>
      <c r="B158" s="1780"/>
      <c r="C158" s="369" t="s">
        <v>1149</v>
      </c>
      <c r="D158" s="2462"/>
      <c r="E158" s="2204"/>
      <c r="F158" s="2383"/>
      <c r="G158" s="2427"/>
      <c r="H158" s="1500"/>
      <c r="I158" s="651" t="s">
        <v>1148</v>
      </c>
      <c r="J158" s="571"/>
      <c r="K158" s="1500"/>
      <c r="L158" s="214"/>
      <c r="M158" s="341"/>
      <c r="N158" s="334"/>
      <c r="O158" s="1624"/>
      <c r="P158" s="1624"/>
      <c r="AH158" s="1631">
        <v>0</v>
      </c>
    </row>
    <row r="159" s="1635" customFormat="1" ht="0.75" hidden="1" customHeight="1">
      <c r="A159" s="1780"/>
      <c r="B159" s="1780"/>
      <c r="C159" s="369" t="s">
        <v>1156</v>
      </c>
      <c r="D159" s="2462"/>
      <c r="E159" s="2204"/>
      <c r="F159" s="2383"/>
      <c r="G159" s="400"/>
      <c r="H159" s="1500"/>
      <c r="I159" s="651"/>
      <c r="J159" s="571"/>
      <c r="K159" s="1500"/>
      <c r="L159" s="214"/>
      <c r="M159" s="341"/>
      <c r="N159" s="334"/>
      <c r="O159" s="1624"/>
      <c r="P159" s="1624"/>
      <c r="AH159" s="1631">
        <v>0</v>
      </c>
    </row>
    <row r="160" s="1635" customFormat="1" ht="18.75" hidden="1" customHeight="1">
      <c r="A160" s="1780" t="s">
        <v>183</v>
      </c>
      <c r="B160" s="1780" t="s">
        <v>184</v>
      </c>
      <c r="C160" s="369"/>
      <c r="D160" s="2462"/>
      <c r="E160" s="2204"/>
      <c r="F160" s="2383" t="str">
        <f>INDEX(PT_DIFFERENTIATION_VTAR,MATCH(A160,PT_DIFFERENTIATION_VTAR_ID,0))</f>
        <v xml:space="preserve">Тарифы на услуги по передаче тепловой энергии</v>
      </c>
      <c r="G160" s="2427" t="str">
        <f>INDEX(PT_DIFFERENTIATION_NTAR,MATCH(B160,PT_DIFFERENTIATION_NTAR_ID,0))</f>
        <v/>
      </c>
      <c r="H160" s="1862"/>
      <c r="I160" s="1739"/>
      <c r="J160" s="1773"/>
      <c r="K160" s="1778"/>
      <c r="L160" s="1862" t="s">
        <v>308</v>
      </c>
      <c r="M160" s="341"/>
      <c r="N160" s="334"/>
      <c r="O160" s="1624"/>
      <c r="P160" s="1624"/>
      <c r="AH160" s="1631">
        <v>0</v>
      </c>
    </row>
    <row r="161" s="1635" customFormat="1" ht="18.75" hidden="1" customHeight="1">
      <c r="A161" s="1780"/>
      <c r="B161" s="1780"/>
      <c r="C161" s="369" t="s">
        <v>1149</v>
      </c>
      <c r="D161" s="2462"/>
      <c r="E161" s="2204"/>
      <c r="F161" s="2383"/>
      <c r="G161" s="2427"/>
      <c r="H161" s="1500"/>
      <c r="I161" s="651" t="s">
        <v>1148</v>
      </c>
      <c r="J161" s="571"/>
      <c r="K161" s="1500"/>
      <c r="L161" s="214"/>
      <c r="M161" s="341"/>
      <c r="N161" s="334"/>
      <c r="O161" s="1624"/>
      <c r="P161" s="1624"/>
      <c r="AH161" s="1631">
        <v>0</v>
      </c>
    </row>
    <row r="162" s="1635" customFormat="1" ht="0.75" hidden="1" customHeight="1">
      <c r="A162" s="1780"/>
      <c r="B162" s="1780"/>
      <c r="C162" s="369" t="s">
        <v>1156</v>
      </c>
      <c r="D162" s="2462"/>
      <c r="E162" s="2204"/>
      <c r="F162" s="2383"/>
      <c r="G162" s="400"/>
      <c r="H162" s="1500"/>
      <c r="I162" s="651"/>
      <c r="J162" s="571"/>
      <c r="K162" s="1500"/>
      <c r="L162" s="214"/>
      <c r="M162" s="341"/>
      <c r="N162" s="334"/>
      <c r="O162" s="1624"/>
      <c r="P162" s="1624"/>
      <c r="AH162" s="1631">
        <v>0</v>
      </c>
    </row>
    <row r="163" s="1635" customFormat="1" ht="18.75" hidden="1" customHeight="1">
      <c r="A163" s="1780" t="s">
        <v>189</v>
      </c>
      <c r="B163" s="1780" t="s">
        <v>190</v>
      </c>
      <c r="C163" s="369"/>
      <c r="D163" s="2462"/>
      <c r="E163" s="2204"/>
      <c r="F163" s="2383" t="str">
        <f>INDEX(PT_DIFFERENTIATION_VTAR,MATCH(A163,PT_DIFFERENTIATION_VTAR_ID,0))</f>
        <v xml:space="preserve">Тарифы на услуги по передаче теплоносителя</v>
      </c>
      <c r="G163" s="2427" t="str">
        <f>INDEX(PT_DIFFERENTIATION_NTAR,MATCH(B163,PT_DIFFERENTIATION_NTAR_ID,0))</f>
        <v/>
      </c>
      <c r="H163" s="1862"/>
      <c r="I163" s="1739"/>
      <c r="J163" s="1773"/>
      <c r="K163" s="1778"/>
      <c r="L163" s="1862" t="s">
        <v>308</v>
      </c>
      <c r="M163" s="341"/>
      <c r="N163" s="334"/>
      <c r="O163" s="1624"/>
      <c r="P163" s="1624"/>
      <c r="AH163" s="1631">
        <v>0</v>
      </c>
    </row>
    <row r="164" s="1635" customFormat="1" ht="18.75" hidden="1" customHeight="1">
      <c r="A164" s="1780"/>
      <c r="B164" s="1780"/>
      <c r="C164" s="369" t="s">
        <v>1149</v>
      </c>
      <c r="D164" s="2462"/>
      <c r="E164" s="2204"/>
      <c r="F164" s="2383"/>
      <c r="G164" s="2427"/>
      <c r="H164" s="1500"/>
      <c r="I164" s="651" t="s">
        <v>1148</v>
      </c>
      <c r="J164" s="571"/>
      <c r="K164" s="1500"/>
      <c r="L164" s="214"/>
      <c r="M164" s="341"/>
      <c r="N164" s="334"/>
      <c r="O164" s="1624"/>
      <c r="P164" s="1624"/>
      <c r="AH164" s="1631">
        <v>0</v>
      </c>
    </row>
    <row r="165" s="1635" customFormat="1" ht="0.75" hidden="1" customHeight="1">
      <c r="A165" s="1780"/>
      <c r="B165" s="1780"/>
      <c r="C165" s="369" t="s">
        <v>1156</v>
      </c>
      <c r="D165" s="2462"/>
      <c r="E165" s="2204"/>
      <c r="F165" s="2383"/>
      <c r="G165" s="400"/>
      <c r="H165" s="1500"/>
      <c r="I165" s="651"/>
      <c r="J165" s="571"/>
      <c r="K165" s="1500"/>
      <c r="L165" s="214"/>
      <c r="M165" s="341"/>
      <c r="N165" s="334"/>
      <c r="O165" s="1624"/>
      <c r="P165" s="1624"/>
      <c r="AH165" s="1631">
        <v>0</v>
      </c>
    </row>
    <row r="166" s="1635" customFormat="1" ht="18.75" hidden="1" customHeight="1">
      <c r="A166" s="1780" t="s">
        <v>195</v>
      </c>
      <c r="B166" s="1780" t="s">
        <v>196</v>
      </c>
      <c r="C166" s="369"/>
      <c r="D166" s="2462"/>
      <c r="E166" s="2204"/>
      <c r="F166" s="2383" t="str">
        <f>INDEX(PT_DIFFERENTIATION_VTAR,MATCH(A166,PT_DIFFERENTIATION_VTAR_ID,0))</f>
        <v xml:space="preserve">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308</v>
      </c>
      <c r="M166" s="341"/>
      <c r="N166" s="334"/>
      <c r="O166" s="1624"/>
      <c r="P166" s="1624"/>
      <c r="AH166" s="1631">
        <v>0</v>
      </c>
    </row>
    <row r="167" s="1635" customFormat="1" ht="18.75" hidden="1" customHeight="1">
      <c r="A167" s="1780"/>
      <c r="B167" s="1780"/>
      <c r="C167" s="369" t="s">
        <v>1149</v>
      </c>
      <c r="D167" s="2462"/>
      <c r="E167" s="2204"/>
      <c r="F167" s="2383"/>
      <c r="G167" s="2427"/>
      <c r="H167" s="1500"/>
      <c r="I167" s="651" t="s">
        <v>1148</v>
      </c>
      <c r="J167" s="571"/>
      <c r="K167" s="1500"/>
      <c r="L167" s="214"/>
      <c r="M167" s="341"/>
      <c r="N167" s="334"/>
      <c r="O167" s="1624"/>
      <c r="P167" s="1624"/>
      <c r="AH167" s="1631">
        <v>0</v>
      </c>
    </row>
    <row r="168" s="1635" customFormat="1" ht="0.75" hidden="1" customHeight="1">
      <c r="A168" s="1780"/>
      <c r="B168" s="1780"/>
      <c r="C168" s="369" t="s">
        <v>1156</v>
      </c>
      <c r="D168" s="2462"/>
      <c r="E168" s="2204"/>
      <c r="F168" s="2383"/>
      <c r="G168" s="400"/>
      <c r="H168" s="1500"/>
      <c r="I168" s="651"/>
      <c r="J168" s="571"/>
      <c r="K168" s="1500"/>
      <c r="L168" s="214"/>
      <c r="M168" s="341"/>
      <c r="N168" s="334"/>
      <c r="O168" s="1624"/>
      <c r="P168" s="1624"/>
      <c r="AH168" s="1631">
        <v>0</v>
      </c>
    </row>
    <row r="169" s="1635" customFormat="1" ht="18.75" hidden="1" customHeight="1">
      <c r="A169" s="1780" t="s">
        <v>201</v>
      </c>
      <c r="B169" s="1780" t="s">
        <v>202</v>
      </c>
      <c r="C169" s="369"/>
      <c r="D169" s="2462"/>
      <c r="E169" s="2204"/>
      <c r="F169" s="2383" t="str">
        <f>INDEX(PT_DIFFERENTIATION_VTAR,MATCH(A169,PT_DIFFERENTIATION_VTAR_ID,0))</f>
        <v xml:space="preserve">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308</v>
      </c>
      <c r="M169" s="341"/>
      <c r="N169" s="334"/>
      <c r="O169" s="1624"/>
      <c r="P169" s="1624"/>
      <c r="AH169" s="1631">
        <v>0</v>
      </c>
    </row>
    <row r="170" s="1635" customFormat="1" ht="18.75" hidden="1" customHeight="1">
      <c r="A170" s="1780"/>
      <c r="B170" s="1780"/>
      <c r="C170" s="369" t="s">
        <v>1149</v>
      </c>
      <c r="D170" s="2462"/>
      <c r="E170" s="2204"/>
      <c r="F170" s="2383"/>
      <c r="G170" s="2427"/>
      <c r="H170" s="1500"/>
      <c r="I170" s="651" t="s">
        <v>1148</v>
      </c>
      <c r="J170" s="571"/>
      <c r="K170" s="1500"/>
      <c r="L170" s="214"/>
      <c r="M170" s="341"/>
      <c r="N170" s="334"/>
      <c r="O170" s="1624"/>
      <c r="P170" s="1624"/>
      <c r="AH170" s="1631">
        <v>0</v>
      </c>
    </row>
    <row r="171" s="1635" customFormat="1" ht="0.75" hidden="1" customHeight="1">
      <c r="A171" s="1780"/>
      <c r="B171" s="1780"/>
      <c r="C171" s="369" t="s">
        <v>1156</v>
      </c>
      <c r="D171" s="2462"/>
      <c r="E171" s="2204"/>
      <c r="F171" s="2383"/>
      <c r="G171" s="400"/>
      <c r="H171" s="1500"/>
      <c r="I171" s="651"/>
      <c r="J171" s="571"/>
      <c r="K171" s="1500"/>
      <c r="L171" s="214"/>
      <c r="M171" s="341"/>
      <c r="N171" s="334"/>
      <c r="O171" s="1624"/>
      <c r="P171" s="1624"/>
      <c r="AH171" s="1631">
        <v>0</v>
      </c>
    </row>
    <row r="172" s="1635" customFormat="1" ht="18.75" hidden="1" customHeight="1">
      <c r="A172" s="1780" t="s">
        <v>207</v>
      </c>
      <c r="B172" s="1780" t="s">
        <v>208</v>
      </c>
      <c r="C172" s="369"/>
      <c r="D172" s="2462"/>
      <c r="E172" s="2204"/>
      <c r="F172" s="2383" t="str">
        <f>INDEX(PT_DIFFERENTIATION_VTAR,MATCH(A172,PT_DIFFERENTIATION_VTAR_ID,0))</f>
        <v xml:space="preserve">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308</v>
      </c>
      <c r="M172" s="341"/>
      <c r="N172" s="334"/>
      <c r="O172" s="1624"/>
      <c r="P172" s="1624"/>
      <c r="AH172" s="1631">
        <v>0</v>
      </c>
    </row>
    <row r="173" s="1635" customFormat="1" ht="18.75" hidden="1" customHeight="1">
      <c r="A173" s="1780"/>
      <c r="B173" s="1780"/>
      <c r="C173" s="369" t="s">
        <v>1149</v>
      </c>
      <c r="D173" s="2462"/>
      <c r="E173" s="2204"/>
      <c r="F173" s="2383"/>
      <c r="G173" s="2427"/>
      <c r="H173" s="1500"/>
      <c r="I173" s="651" t="s">
        <v>1148</v>
      </c>
      <c r="J173" s="571"/>
      <c r="K173" s="1500"/>
      <c r="L173" s="214"/>
      <c r="M173" s="341"/>
      <c r="N173" s="334"/>
      <c r="O173" s="1624"/>
      <c r="P173" s="1624"/>
      <c r="AH173" s="1631">
        <v>0</v>
      </c>
    </row>
    <row r="174" s="1635" customFormat="1" ht="0.75" hidden="1" customHeight="1">
      <c r="A174" s="1780"/>
      <c r="B174" s="1780"/>
      <c r="C174" s="369" t="s">
        <v>1156</v>
      </c>
      <c r="D174" s="2462"/>
      <c r="E174" s="2204"/>
      <c r="F174" s="2383"/>
      <c r="G174" s="400"/>
      <c r="H174" s="1500"/>
      <c r="I174" s="651"/>
      <c r="J174" s="571"/>
      <c r="K174" s="1500"/>
      <c r="L174" s="214"/>
      <c r="M174" s="341"/>
      <c r="N174" s="334"/>
      <c r="O174" s="1624"/>
      <c r="P174" s="1624"/>
      <c r="AH174" s="1631">
        <v>0</v>
      </c>
    </row>
    <row r="175" s="1635" customFormat="1" ht="18.75" hidden="1" customHeight="1">
      <c r="A175" s="1780" t="s">
        <v>227</v>
      </c>
      <c r="B175" s="1780" t="s">
        <v>228</v>
      </c>
      <c r="C175" s="369"/>
      <c r="D175" s="2462"/>
      <c r="E175" s="2204"/>
      <c r="F175" s="2383" t="str">
        <f>INDEX(PT_DIFFERENTIATION_VTAR,MATCH(A175,PT_DIFFERENTIATION_VTAR_ID,0))</f>
        <v xml:space="preserve">Тариф на питьевую воду (питьевое водоснабжение)</v>
      </c>
      <c r="G175" s="2427" t="str">
        <f>INDEX(PT_DIFFERENTIATION_NTAR,MATCH(B175,PT_DIFFERENTIATION_NTAR_ID,0))</f>
        <v/>
      </c>
      <c r="H175" s="1862"/>
      <c r="I175" s="1739"/>
      <c r="J175" s="1773"/>
      <c r="K175" s="1778"/>
      <c r="L175" s="1862" t="s">
        <v>308</v>
      </c>
      <c r="M175" s="341"/>
      <c r="N175" s="334"/>
      <c r="O175" s="1624"/>
      <c r="P175" s="1624"/>
      <c r="AH175" s="1631">
        <v>0</v>
      </c>
    </row>
    <row r="176" s="1635" customFormat="1" ht="18.75" hidden="1" customHeight="1">
      <c r="A176" s="1780"/>
      <c r="B176" s="1780"/>
      <c r="C176" s="369" t="s">
        <v>1149</v>
      </c>
      <c r="D176" s="2462"/>
      <c r="E176" s="2204"/>
      <c r="F176" s="2383"/>
      <c r="G176" s="2427"/>
      <c r="H176" s="1500"/>
      <c r="I176" s="651" t="s">
        <v>1148</v>
      </c>
      <c r="J176" s="571"/>
      <c r="K176" s="1500"/>
      <c r="L176" s="214"/>
      <c r="M176" s="341"/>
      <c r="N176" s="334"/>
      <c r="O176" s="1624"/>
      <c r="P176" s="1624"/>
      <c r="AH176" s="1631">
        <v>0</v>
      </c>
    </row>
    <row r="177" s="1635" customFormat="1" ht="0.75" hidden="1" customHeight="1">
      <c r="A177" s="1780"/>
      <c r="B177" s="1780"/>
      <c r="C177" s="369" t="s">
        <v>1156</v>
      </c>
      <c r="D177" s="2462"/>
      <c r="E177" s="2204"/>
      <c r="F177" s="2383"/>
      <c r="G177" s="400"/>
      <c r="H177" s="1500"/>
      <c r="I177" s="651"/>
      <c r="J177" s="571"/>
      <c r="K177" s="1500"/>
      <c r="L177" s="214"/>
      <c r="M177" s="341"/>
      <c r="N177" s="334"/>
      <c r="O177" s="1624"/>
      <c r="P177" s="1624"/>
      <c r="AH177" s="1631">
        <v>0</v>
      </c>
    </row>
    <row r="178" s="1635" customFormat="1" ht="18.75" hidden="1" customHeight="1">
      <c r="A178" s="1780" t="s">
        <v>232</v>
      </c>
      <c r="B178" s="1780" t="s">
        <v>233</v>
      </c>
      <c r="C178" s="369"/>
      <c r="D178" s="2462"/>
      <c r="E178" s="2204"/>
      <c r="F178" s="2383" t="str">
        <f>INDEX(PT_DIFFERENTIATION_VTAR,MATCH(A178,PT_DIFFERENTIATION_VTAR_ID,0))</f>
        <v xml:space="preserve">Тариф на техническую воду</v>
      </c>
      <c r="G178" s="2427" t="str">
        <f>INDEX(PT_DIFFERENTIATION_NTAR,MATCH(B178,PT_DIFFERENTIATION_NTAR_ID,0))</f>
        <v/>
      </c>
      <c r="H178" s="1862"/>
      <c r="I178" s="1739"/>
      <c r="J178" s="1773"/>
      <c r="K178" s="1778"/>
      <c r="L178" s="1862" t="s">
        <v>308</v>
      </c>
      <c r="M178" s="341"/>
      <c r="N178" s="334"/>
      <c r="O178" s="1624"/>
      <c r="P178" s="1624"/>
      <c r="AH178" s="1631">
        <v>0</v>
      </c>
    </row>
    <row r="179" s="1635" customFormat="1" ht="18.75" hidden="1" customHeight="1">
      <c r="A179" s="1780"/>
      <c r="B179" s="1780"/>
      <c r="C179" s="369" t="s">
        <v>1149</v>
      </c>
      <c r="D179" s="2462"/>
      <c r="E179" s="2204"/>
      <c r="F179" s="2383"/>
      <c r="G179" s="2427"/>
      <c r="H179" s="1500"/>
      <c r="I179" s="651" t="s">
        <v>1148</v>
      </c>
      <c r="J179" s="571"/>
      <c r="K179" s="1500"/>
      <c r="L179" s="214"/>
      <c r="M179" s="341"/>
      <c r="N179" s="334"/>
      <c r="O179" s="1624"/>
      <c r="P179" s="1624"/>
      <c r="AH179" s="1631">
        <v>0</v>
      </c>
    </row>
    <row r="180" s="1635" customFormat="1" ht="0.75" hidden="1" customHeight="1">
      <c r="A180" s="1780"/>
      <c r="B180" s="1780"/>
      <c r="C180" s="369" t="s">
        <v>1156</v>
      </c>
      <c r="D180" s="2462"/>
      <c r="E180" s="2204"/>
      <c r="F180" s="2383"/>
      <c r="G180" s="400"/>
      <c r="H180" s="1500"/>
      <c r="I180" s="651"/>
      <c r="J180" s="571"/>
      <c r="K180" s="1500"/>
      <c r="L180" s="214"/>
      <c r="M180" s="341"/>
      <c r="N180" s="334"/>
      <c r="O180" s="1624"/>
      <c r="P180" s="1624"/>
      <c r="AH180" s="1631">
        <v>0</v>
      </c>
    </row>
    <row r="181" s="1635" customFormat="1" ht="18.75" hidden="1" customHeight="1">
      <c r="A181" s="1780" t="s">
        <v>237</v>
      </c>
      <c r="B181" s="1780" t="s">
        <v>238</v>
      </c>
      <c r="C181" s="369"/>
      <c r="D181" s="2462"/>
      <c r="E181" s="2204"/>
      <c r="F181" s="2383" t="str">
        <f>INDEX(PT_DIFFERENTIATION_VTAR,MATCH(A181,PT_DIFFERENTIATION_VTAR_ID,0))</f>
        <v xml:space="preserve">Тариф на транспортировку воды</v>
      </c>
      <c r="G181" s="2427" t="str">
        <f>INDEX(PT_DIFFERENTIATION_NTAR,MATCH(B181,PT_DIFFERENTIATION_NTAR_ID,0))</f>
        <v/>
      </c>
      <c r="H181" s="1862"/>
      <c r="I181" s="1739"/>
      <c r="J181" s="1773"/>
      <c r="K181" s="1778"/>
      <c r="L181" s="1862" t="s">
        <v>308</v>
      </c>
      <c r="M181" s="341"/>
      <c r="N181" s="334"/>
      <c r="O181" s="1624"/>
      <c r="P181" s="1624"/>
      <c r="AH181" s="1631">
        <v>0</v>
      </c>
    </row>
    <row r="182" s="1635" customFormat="1" ht="18.75" hidden="1" customHeight="1">
      <c r="A182" s="1780"/>
      <c r="B182" s="1780"/>
      <c r="C182" s="369" t="s">
        <v>1149</v>
      </c>
      <c r="D182" s="2462"/>
      <c r="E182" s="2204"/>
      <c r="F182" s="2383"/>
      <c r="G182" s="2427"/>
      <c r="H182" s="1500"/>
      <c r="I182" s="651" t="s">
        <v>1148</v>
      </c>
      <c r="J182" s="571"/>
      <c r="K182" s="1500"/>
      <c r="L182" s="214"/>
      <c r="M182" s="341"/>
      <c r="N182" s="334"/>
      <c r="O182" s="1624"/>
      <c r="P182" s="1624"/>
      <c r="AH182" s="1631">
        <v>0</v>
      </c>
    </row>
    <row r="183" s="1635" customFormat="1" ht="0.75" hidden="1" customHeight="1">
      <c r="A183" s="1780"/>
      <c r="B183" s="1780"/>
      <c r="C183" s="369" t="s">
        <v>1156</v>
      </c>
      <c r="D183" s="2462"/>
      <c r="E183" s="2204"/>
      <c r="F183" s="2383"/>
      <c r="G183" s="400"/>
      <c r="H183" s="1500"/>
      <c r="I183" s="651"/>
      <c r="J183" s="571"/>
      <c r="K183" s="1500"/>
      <c r="L183" s="214"/>
      <c r="M183" s="341"/>
      <c r="N183" s="334"/>
      <c r="O183" s="1624"/>
      <c r="P183" s="1624"/>
      <c r="AH183" s="1631">
        <v>0</v>
      </c>
    </row>
    <row r="184" s="1635" customFormat="1" ht="18.75" hidden="1" customHeight="1">
      <c r="A184" s="1780" t="s">
        <v>242</v>
      </c>
      <c r="B184" s="1780" t="s">
        <v>243</v>
      </c>
      <c r="C184" s="369"/>
      <c r="D184" s="2462"/>
      <c r="E184" s="2204"/>
      <c r="F184" s="2383" t="str">
        <f>INDEX(PT_DIFFERENTIATION_VTAR,MATCH(A184,PT_DIFFERENTIATION_VTAR_ID,0))</f>
        <v xml:space="preserve">Тариф на подвоз воды</v>
      </c>
      <c r="G184" s="2427" t="str">
        <f>INDEX(PT_DIFFERENTIATION_NTAR,MATCH(B184,PT_DIFFERENTIATION_NTAR_ID,0))</f>
        <v/>
      </c>
      <c r="H184" s="1862"/>
      <c r="I184" s="1739"/>
      <c r="J184" s="1773"/>
      <c r="K184" s="1778"/>
      <c r="L184" s="1862" t="s">
        <v>308</v>
      </c>
      <c r="M184" s="341"/>
      <c r="N184" s="334"/>
      <c r="O184" s="1624"/>
      <c r="P184" s="1624"/>
      <c r="AH184" s="1631">
        <v>0</v>
      </c>
    </row>
    <row r="185" s="1635" customFormat="1" ht="18.75" hidden="1" customHeight="1">
      <c r="A185" s="1780"/>
      <c r="B185" s="1780"/>
      <c r="C185" s="369" t="s">
        <v>1149</v>
      </c>
      <c r="D185" s="2462"/>
      <c r="E185" s="2204"/>
      <c r="F185" s="2383"/>
      <c r="G185" s="2427"/>
      <c r="H185" s="1500"/>
      <c r="I185" s="651" t="s">
        <v>1148</v>
      </c>
      <c r="J185" s="571"/>
      <c r="K185" s="1500"/>
      <c r="L185" s="214"/>
      <c r="M185" s="341"/>
      <c r="N185" s="334"/>
      <c r="O185" s="1624"/>
      <c r="P185" s="1624"/>
      <c r="AH185" s="1631">
        <v>0</v>
      </c>
    </row>
    <row r="186" s="1635" customFormat="1" ht="0.75" hidden="1" customHeight="1">
      <c r="A186" s="1780"/>
      <c r="B186" s="1780"/>
      <c r="C186" s="369" t="s">
        <v>1156</v>
      </c>
      <c r="D186" s="2462"/>
      <c r="E186" s="2204"/>
      <c r="F186" s="2383"/>
      <c r="G186" s="400"/>
      <c r="H186" s="1500"/>
      <c r="I186" s="651"/>
      <c r="J186" s="571"/>
      <c r="K186" s="1500"/>
      <c r="L186" s="214"/>
      <c r="M186" s="341"/>
      <c r="N186" s="334"/>
      <c r="O186" s="1624"/>
      <c r="P186" s="1624"/>
      <c r="AH186" s="1631">
        <v>0</v>
      </c>
    </row>
    <row r="187" s="1635" customFormat="1" ht="18.75" hidden="1" customHeight="1">
      <c r="A187" s="1780" t="s">
        <v>247</v>
      </c>
      <c r="B187" s="1780" t="s">
        <v>248</v>
      </c>
      <c r="C187" s="369"/>
      <c r="D187" s="2462"/>
      <c r="E187" s="2204"/>
      <c r="F187" s="2383" t="str">
        <f>INDEX(PT_DIFFERENTIATION_VTAR,MATCH(A187,PT_DIFFERENTIATION_VTAR_ID,0))</f>
        <v xml:space="preserve">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308</v>
      </c>
      <c r="M187" s="341"/>
      <c r="N187" s="334"/>
      <c r="O187" s="1624"/>
      <c r="P187" s="1624"/>
      <c r="AH187" s="1631">
        <v>0</v>
      </c>
    </row>
    <row r="188" s="1635" customFormat="1" ht="18.75" hidden="1" customHeight="1">
      <c r="A188" s="1780"/>
      <c r="B188" s="1780"/>
      <c r="C188" s="369" t="s">
        <v>1149</v>
      </c>
      <c r="D188" s="2462"/>
      <c r="E188" s="2204"/>
      <c r="F188" s="2383"/>
      <c r="G188" s="2427"/>
      <c r="H188" s="1500"/>
      <c r="I188" s="651" t="s">
        <v>1148</v>
      </c>
      <c r="J188" s="571"/>
      <c r="K188" s="1500"/>
      <c r="L188" s="214"/>
      <c r="M188" s="341"/>
      <c r="N188" s="334"/>
      <c r="O188" s="1624"/>
      <c r="P188" s="1624"/>
      <c r="AH188" s="1631">
        <v>0</v>
      </c>
    </row>
    <row r="189" s="1635" customFormat="1" ht="0.75" hidden="1" customHeight="1">
      <c r="A189" s="1780"/>
      <c r="B189" s="1780"/>
      <c r="C189" s="369" t="s">
        <v>1156</v>
      </c>
      <c r="D189" s="2462"/>
      <c r="E189" s="2204"/>
      <c r="F189" s="2383"/>
      <c r="G189" s="400"/>
      <c r="H189" s="1500"/>
      <c r="I189" s="651"/>
      <c r="J189" s="571"/>
      <c r="K189" s="1500"/>
      <c r="L189" s="214"/>
      <c r="M189" s="341"/>
      <c r="N189" s="334"/>
      <c r="O189" s="1624"/>
      <c r="P189" s="1624"/>
      <c r="AH189" s="1631">
        <v>0</v>
      </c>
    </row>
    <row r="190" s="1635" customFormat="1" ht="18.75" hidden="1" customHeight="1">
      <c r="A190" s="1780" t="s">
        <v>252</v>
      </c>
      <c r="B190" s="1780" t="s">
        <v>253</v>
      </c>
      <c r="C190" s="369"/>
      <c r="D190" s="2462"/>
      <c r="E190" s="2204"/>
      <c r="F190" s="2383" t="str">
        <f>INDEX(PT_DIFFERENTIATION_VTAR,MATCH(A190,PT_DIFFERENTIATION_VTAR_ID,0))</f>
        <v xml:space="preserve">Тариф на горячую воду (горячее водоснабжение)</v>
      </c>
      <c r="G190" s="2427" t="str">
        <f>INDEX(PT_DIFFERENTIATION_NTAR,MATCH(B190,PT_DIFFERENTIATION_NTAR_ID,0))</f>
        <v/>
      </c>
      <c r="H190" s="1862"/>
      <c r="I190" s="1739"/>
      <c r="J190" s="1773"/>
      <c r="K190" s="1778"/>
      <c r="L190" s="1862" t="s">
        <v>308</v>
      </c>
      <c r="M190" s="341"/>
      <c r="N190" s="334"/>
      <c r="O190" s="1624"/>
      <c r="P190" s="1624"/>
      <c r="AH190" s="1631">
        <v>0</v>
      </c>
    </row>
    <row r="191" s="1635" customFormat="1" ht="18.75" hidden="1" customHeight="1">
      <c r="A191" s="1780"/>
      <c r="B191" s="1780"/>
      <c r="C191" s="369" t="s">
        <v>1149</v>
      </c>
      <c r="D191" s="2462"/>
      <c r="E191" s="2204"/>
      <c r="F191" s="2383"/>
      <c r="G191" s="2427"/>
      <c r="H191" s="1500"/>
      <c r="I191" s="651" t="s">
        <v>1148</v>
      </c>
      <c r="J191" s="571"/>
      <c r="K191" s="1500"/>
      <c r="L191" s="214"/>
      <c r="M191" s="341"/>
      <c r="N191" s="334"/>
      <c r="O191" s="1624"/>
      <c r="P191" s="1624"/>
      <c r="AH191" s="1631">
        <v>0</v>
      </c>
    </row>
    <row r="192" s="1635" customFormat="1" ht="0.75" hidden="1" customHeight="1">
      <c r="A192" s="1780"/>
      <c r="B192" s="1780"/>
      <c r="C192" s="369" t="s">
        <v>1156</v>
      </c>
      <c r="D192" s="2462"/>
      <c r="E192" s="2204"/>
      <c r="F192" s="2383"/>
      <c r="G192" s="400"/>
      <c r="H192" s="1500"/>
      <c r="I192" s="651"/>
      <c r="J192" s="571"/>
      <c r="K192" s="1500"/>
      <c r="L192" s="214"/>
      <c r="M192" s="341"/>
      <c r="N192" s="334"/>
      <c r="O192" s="1624"/>
      <c r="P192" s="1624"/>
      <c r="AH192" s="1631">
        <v>0</v>
      </c>
    </row>
    <row r="193" s="1635" customFormat="1" ht="18.75" hidden="1" customHeight="1">
      <c r="A193" s="1780" t="s">
        <v>257</v>
      </c>
      <c r="B193" s="1780" t="s">
        <v>258</v>
      </c>
      <c r="C193" s="369"/>
      <c r="D193" s="2462"/>
      <c r="E193" s="2204"/>
      <c r="F193" s="2383" t="str">
        <f>INDEX(PT_DIFFERENTIATION_VTAR,MATCH(A193,PT_DIFFERENTIATION_VTAR_ID,0))</f>
        <v xml:space="preserve">Тариф на транспортировку горячей воды</v>
      </c>
      <c r="G193" s="2427" t="str">
        <f>INDEX(PT_DIFFERENTIATION_NTAR,MATCH(B193,PT_DIFFERENTIATION_NTAR_ID,0))</f>
        <v/>
      </c>
      <c r="H193" s="1862"/>
      <c r="I193" s="1739"/>
      <c r="J193" s="1773"/>
      <c r="K193" s="1778"/>
      <c r="L193" s="1862" t="s">
        <v>308</v>
      </c>
      <c r="M193" s="341"/>
      <c r="N193" s="334"/>
      <c r="O193" s="1624"/>
      <c r="P193" s="1624"/>
      <c r="AH193" s="1631">
        <v>0</v>
      </c>
    </row>
    <row r="194" s="1635" customFormat="1" ht="18.75" hidden="1" customHeight="1">
      <c r="A194" s="1780"/>
      <c r="B194" s="1780"/>
      <c r="C194" s="369" t="s">
        <v>1149</v>
      </c>
      <c r="D194" s="2462"/>
      <c r="E194" s="2204"/>
      <c r="F194" s="2383"/>
      <c r="G194" s="2427"/>
      <c r="H194" s="1500"/>
      <c r="I194" s="651" t="s">
        <v>1148</v>
      </c>
      <c r="J194" s="571"/>
      <c r="K194" s="1500"/>
      <c r="L194" s="214"/>
      <c r="M194" s="341"/>
      <c r="N194" s="334"/>
      <c r="O194" s="1624"/>
      <c r="P194" s="1624"/>
      <c r="AH194" s="1631">
        <v>0</v>
      </c>
    </row>
    <row r="195" s="1635" customFormat="1" ht="0.75" hidden="1" customHeight="1">
      <c r="A195" s="1780"/>
      <c r="B195" s="1780"/>
      <c r="C195" s="369" t="s">
        <v>1156</v>
      </c>
      <c r="D195" s="2462"/>
      <c r="E195" s="2204"/>
      <c r="F195" s="2383"/>
      <c r="G195" s="400"/>
      <c r="H195" s="1500"/>
      <c r="I195" s="651"/>
      <c r="J195" s="571"/>
      <c r="K195" s="1500"/>
      <c r="L195" s="214"/>
      <c r="M195" s="341"/>
      <c r="N195" s="334"/>
      <c r="O195" s="1624"/>
      <c r="P195" s="1624"/>
      <c r="AH195" s="1631">
        <v>0</v>
      </c>
    </row>
    <row r="196" s="1635" customFormat="1" ht="18.75" hidden="1" customHeight="1">
      <c r="A196" s="1780" t="s">
        <v>262</v>
      </c>
      <c r="B196" s="1780" t="s">
        <v>263</v>
      </c>
      <c r="C196" s="369"/>
      <c r="D196" s="2462"/>
      <c r="E196" s="2204"/>
      <c r="F196" s="2383" t="str">
        <f>INDEX(PT_DIFFERENTIATION_VTAR,MATCH(A196,PT_DIFFERENTIATION_VTAR_ID,0))</f>
        <v xml:space="preserve">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308</v>
      </c>
      <c r="M196" s="341"/>
      <c r="N196" s="334"/>
      <c r="O196" s="1624"/>
      <c r="P196" s="1624"/>
      <c r="AH196" s="1631">
        <v>0</v>
      </c>
    </row>
    <row r="197" s="1635" customFormat="1" ht="18.75" hidden="1" customHeight="1">
      <c r="A197" s="1780"/>
      <c r="B197" s="1780"/>
      <c r="C197" s="369" t="s">
        <v>1149</v>
      </c>
      <c r="D197" s="2462"/>
      <c r="E197" s="2204"/>
      <c r="F197" s="2383"/>
      <c r="G197" s="2427"/>
      <c r="H197" s="1500"/>
      <c r="I197" s="651" t="s">
        <v>1148</v>
      </c>
      <c r="J197" s="571"/>
      <c r="K197" s="1500"/>
      <c r="L197" s="214"/>
      <c r="M197" s="341"/>
      <c r="N197" s="334"/>
      <c r="O197" s="1624"/>
      <c r="P197" s="1624"/>
      <c r="AH197" s="1631">
        <v>0</v>
      </c>
    </row>
    <row r="198" s="1635" customFormat="1" ht="0.75" hidden="1" customHeight="1">
      <c r="A198" s="1780"/>
      <c r="B198" s="1780"/>
      <c r="C198" s="369" t="s">
        <v>1156</v>
      </c>
      <c r="D198" s="2462"/>
      <c r="E198" s="2204"/>
      <c r="F198" s="2383"/>
      <c r="G198" s="400"/>
      <c r="H198" s="1500"/>
      <c r="I198" s="651"/>
      <c r="J198" s="571"/>
      <c r="K198" s="1500"/>
      <c r="L198" s="214"/>
      <c r="M198" s="341"/>
      <c r="N198" s="334"/>
      <c r="O198" s="1624"/>
      <c r="P198" s="1624"/>
      <c r="AH198" s="1631">
        <v>0</v>
      </c>
    </row>
    <row r="199" s="1635" customFormat="1" ht="18.75" hidden="1" customHeight="1">
      <c r="A199" s="1780" t="s">
        <v>267</v>
      </c>
      <c r="B199" s="1780" t="s">
        <v>268</v>
      </c>
      <c r="C199" s="369"/>
      <c r="D199" s="2462"/>
      <c r="E199" s="2204"/>
      <c r="F199" s="2383" t="str">
        <f>INDEX(PT_DIFFERENTIATION_VTAR,MATCH(A199,PT_DIFFERENTIATION_VTAR_ID,0))</f>
        <v xml:space="preserve">Тариф на водоотведение</v>
      </c>
      <c r="G199" s="2427" t="str">
        <f>INDEX(PT_DIFFERENTIATION_NTAR,MATCH(B199,PT_DIFFERENTIATION_NTAR_ID,0))</f>
        <v/>
      </c>
      <c r="H199" s="1862"/>
      <c r="I199" s="1739"/>
      <c r="J199" s="1773"/>
      <c r="K199" s="1778"/>
      <c r="L199" s="1862" t="s">
        <v>308</v>
      </c>
      <c r="M199" s="341"/>
      <c r="N199" s="334"/>
      <c r="O199" s="1624"/>
      <c r="P199" s="1624"/>
      <c r="AH199" s="1631">
        <v>0</v>
      </c>
    </row>
    <row r="200" s="1635" customFormat="1" ht="18.75" hidden="1" customHeight="1">
      <c r="A200" s="1780"/>
      <c r="B200" s="1780"/>
      <c r="C200" s="369" t="s">
        <v>1149</v>
      </c>
      <c r="D200" s="2462"/>
      <c r="E200" s="2204"/>
      <c r="F200" s="2383"/>
      <c r="G200" s="2427"/>
      <c r="H200" s="1500"/>
      <c r="I200" s="651" t="s">
        <v>1148</v>
      </c>
      <c r="J200" s="571"/>
      <c r="K200" s="1500"/>
      <c r="L200" s="214"/>
      <c r="M200" s="341"/>
      <c r="N200" s="334"/>
      <c r="O200" s="1624"/>
      <c r="P200" s="1624"/>
      <c r="AH200" s="1631">
        <v>0</v>
      </c>
    </row>
    <row r="201" s="1635" customFormat="1" ht="0.75" hidden="1" customHeight="1">
      <c r="A201" s="1780"/>
      <c r="B201" s="1780"/>
      <c r="C201" s="369" t="s">
        <v>1156</v>
      </c>
      <c r="D201" s="2462"/>
      <c r="E201" s="2204"/>
      <c r="F201" s="2383"/>
      <c r="G201" s="400"/>
      <c r="H201" s="1500"/>
      <c r="I201" s="651"/>
      <c r="J201" s="571"/>
      <c r="K201" s="1500"/>
      <c r="L201" s="214"/>
      <c r="M201" s="341"/>
      <c r="N201" s="334"/>
      <c r="O201" s="1624"/>
      <c r="P201" s="1624"/>
      <c r="AH201" s="1631">
        <v>0</v>
      </c>
    </row>
    <row r="202" s="1635" customFormat="1" ht="18.75" hidden="1" customHeight="1">
      <c r="A202" s="1780" t="s">
        <v>272</v>
      </c>
      <c r="B202" s="1780" t="s">
        <v>273</v>
      </c>
      <c r="C202" s="369"/>
      <c r="D202" s="2462"/>
      <c r="E202" s="2204"/>
      <c r="F202" s="2383" t="str">
        <f>INDEX(PT_DIFFERENTIATION_VTAR,MATCH(A202,PT_DIFFERENTIATION_VTAR_ID,0))</f>
        <v xml:space="preserve">Тариф на транспортировку сточных вод</v>
      </c>
      <c r="G202" s="2427" t="str">
        <f>INDEX(PT_DIFFERENTIATION_NTAR,MATCH(B202,PT_DIFFERENTIATION_NTAR_ID,0))</f>
        <v/>
      </c>
      <c r="H202" s="1862"/>
      <c r="I202" s="1739"/>
      <c r="J202" s="1773"/>
      <c r="K202" s="1778"/>
      <c r="L202" s="1862" t="s">
        <v>308</v>
      </c>
      <c r="M202" s="341"/>
      <c r="N202" s="334"/>
      <c r="O202" s="1624"/>
      <c r="P202" s="1624"/>
      <c r="AH202" s="1631">
        <v>0</v>
      </c>
    </row>
    <row r="203" s="1635" customFormat="1" ht="18.75" hidden="1" customHeight="1">
      <c r="A203" s="1780"/>
      <c r="B203" s="1780"/>
      <c r="C203" s="369" t="s">
        <v>1149</v>
      </c>
      <c r="D203" s="2462"/>
      <c r="E203" s="2204"/>
      <c r="F203" s="2383"/>
      <c r="G203" s="2427"/>
      <c r="H203" s="1500"/>
      <c r="I203" s="651" t="s">
        <v>1148</v>
      </c>
      <c r="J203" s="571"/>
      <c r="K203" s="1500"/>
      <c r="L203" s="214"/>
      <c r="M203" s="341"/>
      <c r="N203" s="334"/>
      <c r="O203" s="1624"/>
      <c r="P203" s="1624"/>
      <c r="AH203" s="1631">
        <v>0</v>
      </c>
    </row>
    <row r="204" s="1635" customFormat="1" ht="0.75" hidden="1" customHeight="1">
      <c r="A204" s="1780"/>
      <c r="B204" s="1780"/>
      <c r="C204" s="369" t="s">
        <v>1156</v>
      </c>
      <c r="D204" s="2462"/>
      <c r="E204" s="2204"/>
      <c r="F204" s="2383"/>
      <c r="G204" s="400"/>
      <c r="H204" s="1500"/>
      <c r="I204" s="651"/>
      <c r="J204" s="571"/>
      <c r="K204" s="1500"/>
      <c r="L204" s="214"/>
      <c r="M204" s="341"/>
      <c r="N204" s="334"/>
      <c r="O204" s="1624"/>
      <c r="P204" s="1624"/>
      <c r="AH204" s="1631">
        <v>0</v>
      </c>
    </row>
    <row r="205" s="1635" customFormat="1" ht="18.75" hidden="1" customHeight="1">
      <c r="A205" s="1780" t="s">
        <v>277</v>
      </c>
      <c r="B205" s="1780" t="s">
        <v>278</v>
      </c>
      <c r="C205" s="369"/>
      <c r="D205" s="2462"/>
      <c r="E205" s="2204"/>
      <c r="F205" s="2383" t="str">
        <f>INDEX(PT_DIFFERENTIATION_VTAR,MATCH(A205,PT_DIFFERENTIATION_VTAR_ID,0))</f>
        <v xml:space="preserve">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308</v>
      </c>
      <c r="M205" s="341"/>
      <c r="N205" s="334"/>
      <c r="O205" s="1624"/>
      <c r="P205" s="1624"/>
      <c r="AH205" s="1631">
        <v>0</v>
      </c>
    </row>
    <row r="206" s="1635" customFormat="1" ht="18.75" hidden="1" customHeight="1">
      <c r="A206" s="1780"/>
      <c r="B206" s="1780"/>
      <c r="C206" s="369" t="s">
        <v>1149</v>
      </c>
      <c r="D206" s="2462"/>
      <c r="E206" s="2204"/>
      <c r="F206" s="2383"/>
      <c r="G206" s="2427"/>
      <c r="H206" s="1500"/>
      <c r="I206" s="651" t="s">
        <v>1148</v>
      </c>
      <c r="J206" s="571"/>
      <c r="K206" s="1500"/>
      <c r="L206" s="214"/>
      <c r="M206" s="341"/>
      <c r="N206" s="334"/>
      <c r="O206" s="1624"/>
      <c r="P206" s="1624"/>
      <c r="AH206" s="1631">
        <v>0</v>
      </c>
    </row>
    <row r="207" s="1635" customFormat="1" ht="1.05" customHeight="1">
      <c r="A207" s="1780"/>
      <c r="B207" s="1780"/>
      <c r="C207" s="369" t="s">
        <v>1156</v>
      </c>
      <c r="D207" s="2462"/>
      <c r="E207" s="2204"/>
      <c r="F207" s="2383"/>
      <c r="G207" s="400"/>
      <c r="H207" s="1500"/>
      <c r="I207" s="651"/>
      <c r="J207" s="571"/>
      <c r="K207" s="1500"/>
      <c r="L207" s="214"/>
      <c r="M207" s="341"/>
      <c r="N207" s="334"/>
      <c r="O207" s="1624"/>
      <c r="P207" s="1624"/>
      <c r="AH207" s="1631">
        <v>1</v>
      </c>
    </row>
    <row r="208" ht="27.300000000000001" customHeight="1">
      <c r="A208" s="1780"/>
      <c r="B208" s="1780"/>
      <c r="D208" s="376"/>
      <c r="E208" s="147" t="s">
        <v>111</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 xml:space="preserve">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0"/>
      <c r="H208" s="2460"/>
      <c r="I208" s="2460"/>
      <c r="J208" s="2460"/>
      <c r="K208" s="2460"/>
      <c r="L208" s="2460"/>
      <c r="M208" s="297"/>
      <c r="N208" s="334"/>
      <c r="AH208" s="374">
        <v>26</v>
      </c>
    </row>
    <row r="209" s="1635" customFormat="1" ht="60.75" hidden="1" customHeight="1">
      <c r="A209" s="1780" t="s">
        <v>159</v>
      </c>
      <c r="B209" s="1780" t="s">
        <v>160</v>
      </c>
      <c r="C209" s="369"/>
      <c r="D209" s="2462"/>
      <c r="E209" s="2204"/>
      <c r="F209" s="2383" t="str">
        <f>INDEX(PT_DIFFERENTIATION_VTAR,MATCH(A209,PT_DIFFERENTIATION_VTAR_ID,0))</f>
        <v xml:space="preserve">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308</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 xml:space="preserve">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N209" s="334"/>
      <c r="O209" s="1624"/>
      <c r="P209" s="1624"/>
      <c r="AH209" s="1631">
        <v>0</v>
      </c>
    </row>
    <row r="210" s="1635" customFormat="1" ht="18.75" hidden="1" customHeight="1">
      <c r="A210" s="1780"/>
      <c r="B210" s="1780"/>
      <c r="C210" s="369" t="s">
        <v>1149</v>
      </c>
      <c r="D210" s="2462"/>
      <c r="E210" s="2204"/>
      <c r="F210" s="2383"/>
      <c r="G210" s="2427"/>
      <c r="H210" s="1500"/>
      <c r="I210" s="651" t="s">
        <v>1148</v>
      </c>
      <c r="J210" s="571"/>
      <c r="K210" s="1500"/>
      <c r="L210" s="214"/>
      <c r="M210" s="2170"/>
      <c r="N210" s="334"/>
      <c r="O210" s="1624"/>
      <c r="P210" s="1624"/>
      <c r="AH210" s="1631">
        <v>0</v>
      </c>
    </row>
    <row r="211" s="1635" customFormat="1" ht="0.75" hidden="1" customHeight="1">
      <c r="A211" s="1780"/>
      <c r="B211" s="1780"/>
      <c r="C211" s="369" t="s">
        <v>1156</v>
      </c>
      <c r="D211" s="2462"/>
      <c r="E211" s="2204"/>
      <c r="F211" s="2383"/>
      <c r="G211" s="400"/>
      <c r="H211" s="1500"/>
      <c r="I211" s="651"/>
      <c r="J211" s="571"/>
      <c r="K211" s="1500"/>
      <c r="L211" s="214"/>
      <c r="M211" s="2170"/>
      <c r="N211" s="334"/>
      <c r="O211" s="1624"/>
      <c r="P211" s="1624"/>
      <c r="AH211" s="1631">
        <v>0</v>
      </c>
    </row>
    <row r="212" s="1635" customFormat="1" ht="45" hidden="1" customHeight="1">
      <c r="A212" s="1780" t="s">
        <v>164</v>
      </c>
      <c r="B212" s="1780" t="s">
        <v>165</v>
      </c>
      <c r="C212" s="369"/>
      <c r="D212" s="2462"/>
      <c r="E212" s="2204"/>
      <c r="F212" s="2383" t="str">
        <f>INDEX(PT_DIFFERENTIATION_VTAR,MATCH(A212,PT_DIFFERENTIATION_VTAR_ID,0))</f>
        <v/>
      </c>
      <c r="G212" s="2427" t="str">
        <f>INDEX(PT_DIFFERENTIATION_NTAR,MATCH(B212,PT_DIFFERENTIATION_NTAR_ID,0))</f>
        <v/>
      </c>
      <c r="H212" s="1862"/>
      <c r="I212" s="1739"/>
      <c r="J212" s="1773"/>
      <c r="K212" s="1778"/>
      <c r="L212" s="1862" t="s">
        <v>308</v>
      </c>
      <c r="M212" s="2171"/>
      <c r="N212" s="334"/>
      <c r="O212" s="1624"/>
      <c r="P212" s="1624"/>
      <c r="AH212" s="1631">
        <v>0</v>
      </c>
    </row>
    <row r="213" s="1635" customFormat="1" ht="18.75" hidden="1" customHeight="1">
      <c r="A213" s="1780"/>
      <c r="B213" s="1780"/>
      <c r="C213" s="369" t="s">
        <v>1149</v>
      </c>
      <c r="D213" s="2462"/>
      <c r="E213" s="2204"/>
      <c r="F213" s="2383"/>
      <c r="G213" s="2427"/>
      <c r="H213" s="1500"/>
      <c r="I213" s="651" t="s">
        <v>1148</v>
      </c>
      <c r="J213" s="571"/>
      <c r="K213" s="1500"/>
      <c r="L213" s="214"/>
      <c r="M213" s="1861"/>
      <c r="N213" s="334"/>
      <c r="O213" s="1624"/>
      <c r="P213" s="1624"/>
      <c r="AH213" s="1631">
        <v>0</v>
      </c>
    </row>
    <row r="214" s="1635" customFormat="1" ht="0.75" hidden="1" customHeight="1">
      <c r="A214" s="1780"/>
      <c r="B214" s="1780"/>
      <c r="C214" s="369" t="s">
        <v>1156</v>
      </c>
      <c r="D214" s="2462"/>
      <c r="E214" s="2204"/>
      <c r="F214" s="2383"/>
      <c r="G214" s="400"/>
      <c r="H214" s="1500"/>
      <c r="I214" s="651"/>
      <c r="J214" s="571"/>
      <c r="K214" s="1500"/>
      <c r="L214" s="214"/>
      <c r="M214" s="341"/>
      <c r="N214" s="334"/>
      <c r="O214" s="1624"/>
      <c r="P214" s="1624"/>
      <c r="AH214" s="1631">
        <v>0</v>
      </c>
    </row>
    <row r="215" s="1635" customFormat="1" ht="45" hidden="1" customHeight="1">
      <c r="A215" s="1780" t="s">
        <v>171</v>
      </c>
      <c r="B215" s="1780" t="s">
        <v>172</v>
      </c>
      <c r="C215" s="369"/>
      <c r="D215" s="2462"/>
      <c r="E215" s="2204"/>
      <c r="F215" s="2383" t="str">
        <f>INDEX(PT_DIFFERENTIATION_VTAR,MATCH(A215,PT_DIFFERENTIATION_VTAR_ID,0))</f>
        <v xml:space="preserve">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308</v>
      </c>
      <c r="M215" s="341"/>
      <c r="N215" s="334"/>
      <c r="O215" s="1624"/>
      <c r="P215" s="1624"/>
      <c r="AH215" s="1631">
        <v>0</v>
      </c>
    </row>
    <row r="216" s="1635" customFormat="1" ht="18.75" hidden="1" customHeight="1">
      <c r="A216" s="1780"/>
      <c r="B216" s="1780"/>
      <c r="C216" s="369" t="s">
        <v>1149</v>
      </c>
      <c r="D216" s="2462"/>
      <c r="E216" s="2204"/>
      <c r="F216" s="2383"/>
      <c r="G216" s="2427"/>
      <c r="H216" s="1500"/>
      <c r="I216" s="651" t="s">
        <v>1148</v>
      </c>
      <c r="J216" s="571"/>
      <c r="K216" s="1500"/>
      <c r="L216" s="214"/>
      <c r="M216" s="341"/>
      <c r="N216" s="334"/>
      <c r="O216" s="1624"/>
      <c r="P216" s="1624"/>
      <c r="AH216" s="1631">
        <v>0</v>
      </c>
    </row>
    <row r="217" s="1635" customFormat="1" ht="0.75" hidden="1" customHeight="1">
      <c r="A217" s="1780"/>
      <c r="B217" s="1780"/>
      <c r="C217" s="369" t="s">
        <v>1156</v>
      </c>
      <c r="D217" s="2462"/>
      <c r="E217" s="2204"/>
      <c r="F217" s="2383"/>
      <c r="G217" s="400"/>
      <c r="H217" s="1500"/>
      <c r="I217" s="651"/>
      <c r="J217" s="571"/>
      <c r="K217" s="1500"/>
      <c r="L217" s="214"/>
      <c r="M217" s="341"/>
      <c r="N217" s="334"/>
      <c r="O217" s="1624"/>
      <c r="P217" s="1624"/>
      <c r="AH217" s="1631">
        <v>0</v>
      </c>
    </row>
    <row r="218" s="1635" customFormat="1" ht="45" hidden="1" customHeight="1">
      <c r="A218" s="1780" t="s">
        <v>177</v>
      </c>
      <c r="B218" s="1780" t="s">
        <v>178</v>
      </c>
      <c r="C218" s="369"/>
      <c r="D218" s="2462"/>
      <c r="E218" s="2204"/>
      <c r="F218" s="2383" t="str">
        <f>INDEX(PT_DIFFERENTIATION_VTAR,MATCH(A218,PT_DIFFERENTIATION_VTAR_ID,0))</f>
        <v xml:space="preserve">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308</v>
      </c>
      <c r="M218" s="341"/>
      <c r="N218" s="334"/>
      <c r="O218" s="1624"/>
      <c r="P218" s="1624"/>
      <c r="AH218" s="1631">
        <v>0</v>
      </c>
    </row>
    <row r="219" s="1635" customFormat="1" ht="18.75" hidden="1" customHeight="1">
      <c r="A219" s="1780"/>
      <c r="B219" s="1780"/>
      <c r="C219" s="369" t="s">
        <v>1149</v>
      </c>
      <c r="D219" s="2462"/>
      <c r="E219" s="2204"/>
      <c r="F219" s="2383"/>
      <c r="G219" s="2427"/>
      <c r="H219" s="1500"/>
      <c r="I219" s="651" t="s">
        <v>1148</v>
      </c>
      <c r="J219" s="571"/>
      <c r="K219" s="1500"/>
      <c r="L219" s="214"/>
      <c r="M219" s="341"/>
      <c r="N219" s="334"/>
      <c r="O219" s="1624"/>
      <c r="P219" s="1624"/>
      <c r="AH219" s="1631">
        <v>0</v>
      </c>
    </row>
    <row r="220" s="1635" customFormat="1" ht="0.75" hidden="1" customHeight="1">
      <c r="A220" s="1780"/>
      <c r="B220" s="1780"/>
      <c r="C220" s="369" t="s">
        <v>1156</v>
      </c>
      <c r="D220" s="2462"/>
      <c r="E220" s="2204"/>
      <c r="F220" s="2383"/>
      <c r="G220" s="400"/>
      <c r="H220" s="1500"/>
      <c r="I220" s="651"/>
      <c r="J220" s="571"/>
      <c r="K220" s="1500"/>
      <c r="L220" s="214"/>
      <c r="M220" s="341"/>
      <c r="N220" s="334"/>
      <c r="O220" s="1624"/>
      <c r="P220" s="1624"/>
      <c r="AH220" s="1631">
        <v>0</v>
      </c>
    </row>
    <row r="221" s="1635" customFormat="1" ht="18.75" hidden="1" customHeight="1">
      <c r="A221" s="1780" t="s">
        <v>183</v>
      </c>
      <c r="B221" s="1780" t="s">
        <v>184</v>
      </c>
      <c r="C221" s="369"/>
      <c r="D221" s="2462"/>
      <c r="E221" s="2204"/>
      <c r="F221" s="2383" t="str">
        <f>INDEX(PT_DIFFERENTIATION_VTAR,MATCH(A221,PT_DIFFERENTIATION_VTAR_ID,0))</f>
        <v xml:space="preserve">Тарифы на услуги по передаче тепловой энергии</v>
      </c>
      <c r="G221" s="2427" t="str">
        <f>INDEX(PT_DIFFERENTIATION_NTAR,MATCH(B221,PT_DIFFERENTIATION_NTAR_ID,0))</f>
        <v/>
      </c>
      <c r="H221" s="1862"/>
      <c r="I221" s="1739"/>
      <c r="J221" s="1773"/>
      <c r="K221" s="1778"/>
      <c r="L221" s="1862" t="s">
        <v>308</v>
      </c>
      <c r="M221" s="341"/>
      <c r="N221" s="334"/>
      <c r="O221" s="1624"/>
      <c r="P221" s="1624"/>
      <c r="AH221" s="1631">
        <v>0</v>
      </c>
    </row>
    <row r="222" s="1635" customFormat="1" ht="18.75" hidden="1" customHeight="1">
      <c r="A222" s="1780"/>
      <c r="B222" s="1780"/>
      <c r="C222" s="369" t="s">
        <v>1149</v>
      </c>
      <c r="D222" s="2462"/>
      <c r="E222" s="2204"/>
      <c r="F222" s="2383"/>
      <c r="G222" s="2427"/>
      <c r="H222" s="1500"/>
      <c r="I222" s="651" t="s">
        <v>1148</v>
      </c>
      <c r="J222" s="571"/>
      <c r="K222" s="1500"/>
      <c r="L222" s="214"/>
      <c r="M222" s="341"/>
      <c r="N222" s="334"/>
      <c r="O222" s="1624"/>
      <c r="P222" s="1624"/>
      <c r="AH222" s="1631">
        <v>0</v>
      </c>
    </row>
    <row r="223" s="1635" customFormat="1" ht="0.75" hidden="1" customHeight="1">
      <c r="A223" s="1780"/>
      <c r="B223" s="1780"/>
      <c r="C223" s="369" t="s">
        <v>1156</v>
      </c>
      <c r="D223" s="2462"/>
      <c r="E223" s="2204"/>
      <c r="F223" s="2383"/>
      <c r="G223" s="400"/>
      <c r="H223" s="1500"/>
      <c r="I223" s="651"/>
      <c r="J223" s="571"/>
      <c r="K223" s="1500"/>
      <c r="L223" s="214"/>
      <c r="M223" s="341"/>
      <c r="N223" s="334"/>
      <c r="O223" s="1624"/>
      <c r="P223" s="1624"/>
      <c r="AH223" s="1631">
        <v>0</v>
      </c>
    </row>
    <row r="224" s="1635" customFormat="1" ht="18.75" hidden="1" customHeight="1">
      <c r="A224" s="1780" t="s">
        <v>189</v>
      </c>
      <c r="B224" s="1780" t="s">
        <v>190</v>
      </c>
      <c r="C224" s="369"/>
      <c r="D224" s="2462"/>
      <c r="E224" s="2204"/>
      <c r="F224" s="2383" t="str">
        <f>INDEX(PT_DIFFERENTIATION_VTAR,MATCH(A224,PT_DIFFERENTIATION_VTAR_ID,0))</f>
        <v xml:space="preserve">Тарифы на услуги по передаче теплоносителя</v>
      </c>
      <c r="G224" s="2427" t="str">
        <f>INDEX(PT_DIFFERENTIATION_NTAR,MATCH(B224,PT_DIFFERENTIATION_NTAR_ID,0))</f>
        <v/>
      </c>
      <c r="H224" s="1862"/>
      <c r="I224" s="1739"/>
      <c r="J224" s="1773"/>
      <c r="K224" s="1778"/>
      <c r="L224" s="1862" t="s">
        <v>308</v>
      </c>
      <c r="M224" s="341"/>
      <c r="N224" s="334"/>
      <c r="O224" s="1624"/>
      <c r="P224" s="1624"/>
      <c r="AH224" s="1631">
        <v>0</v>
      </c>
    </row>
    <row r="225" s="1635" customFormat="1" ht="18.75" hidden="1" customHeight="1">
      <c r="A225" s="1780"/>
      <c r="B225" s="1780"/>
      <c r="C225" s="369" t="s">
        <v>1149</v>
      </c>
      <c r="D225" s="2462"/>
      <c r="E225" s="2204"/>
      <c r="F225" s="2383"/>
      <c r="G225" s="2427"/>
      <c r="H225" s="1500"/>
      <c r="I225" s="651" t="s">
        <v>1148</v>
      </c>
      <c r="J225" s="571"/>
      <c r="K225" s="1500"/>
      <c r="L225" s="214"/>
      <c r="M225" s="341"/>
      <c r="N225" s="334"/>
      <c r="O225" s="1624"/>
      <c r="P225" s="1624"/>
      <c r="AH225" s="1631">
        <v>0</v>
      </c>
    </row>
    <row r="226" s="1635" customFormat="1" ht="0.75" hidden="1" customHeight="1">
      <c r="A226" s="1780"/>
      <c r="B226" s="1780"/>
      <c r="C226" s="369" t="s">
        <v>1156</v>
      </c>
      <c r="D226" s="2462"/>
      <c r="E226" s="2204"/>
      <c r="F226" s="2383"/>
      <c r="G226" s="400"/>
      <c r="H226" s="1500"/>
      <c r="I226" s="651"/>
      <c r="J226" s="571"/>
      <c r="K226" s="1500"/>
      <c r="L226" s="214"/>
      <c r="M226" s="341"/>
      <c r="N226" s="334"/>
      <c r="O226" s="1624"/>
      <c r="P226" s="1624"/>
      <c r="AH226" s="1631">
        <v>0</v>
      </c>
    </row>
    <row r="227" s="1635" customFormat="1" ht="18.75" hidden="1" customHeight="1">
      <c r="A227" s="1780" t="s">
        <v>195</v>
      </c>
      <c r="B227" s="1780" t="s">
        <v>196</v>
      </c>
      <c r="C227" s="369"/>
      <c r="D227" s="2462"/>
      <c r="E227" s="2204"/>
      <c r="F227" s="2383" t="str">
        <f>INDEX(PT_DIFFERENTIATION_VTAR,MATCH(A227,PT_DIFFERENTIATION_VTAR_ID,0))</f>
        <v xml:space="preserve">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308</v>
      </c>
      <c r="M227" s="341"/>
      <c r="N227" s="334"/>
      <c r="O227" s="1624"/>
      <c r="P227" s="1624"/>
      <c r="AH227" s="1631">
        <v>0</v>
      </c>
    </row>
    <row r="228" s="1635" customFormat="1" ht="18.75" hidden="1" customHeight="1">
      <c r="A228" s="1780"/>
      <c r="B228" s="1780"/>
      <c r="C228" s="369" t="s">
        <v>1149</v>
      </c>
      <c r="D228" s="2462"/>
      <c r="E228" s="2204"/>
      <c r="F228" s="2383"/>
      <c r="G228" s="2427"/>
      <c r="H228" s="1500"/>
      <c r="I228" s="651" t="s">
        <v>1148</v>
      </c>
      <c r="J228" s="571"/>
      <c r="K228" s="1500"/>
      <c r="L228" s="214"/>
      <c r="M228" s="341"/>
      <c r="N228" s="334"/>
      <c r="O228" s="1624"/>
      <c r="P228" s="1624"/>
      <c r="AH228" s="1631">
        <v>0</v>
      </c>
    </row>
    <row r="229" s="1635" customFormat="1" ht="0.75" hidden="1" customHeight="1">
      <c r="A229" s="1780"/>
      <c r="B229" s="1780"/>
      <c r="C229" s="369" t="s">
        <v>1156</v>
      </c>
      <c r="D229" s="2462"/>
      <c r="E229" s="2204"/>
      <c r="F229" s="2383"/>
      <c r="G229" s="400"/>
      <c r="H229" s="1500"/>
      <c r="I229" s="651"/>
      <c r="J229" s="571"/>
      <c r="K229" s="1500"/>
      <c r="L229" s="214"/>
      <c r="M229" s="341"/>
      <c r="N229" s="334"/>
      <c r="O229" s="1624"/>
      <c r="P229" s="1624"/>
      <c r="AH229" s="1631">
        <v>0</v>
      </c>
    </row>
    <row r="230" s="1635" customFormat="1" ht="18.75" hidden="1" customHeight="1">
      <c r="A230" s="1780" t="s">
        <v>201</v>
      </c>
      <c r="B230" s="1780" t="s">
        <v>202</v>
      </c>
      <c r="C230" s="369"/>
      <c r="D230" s="2462"/>
      <c r="E230" s="2204"/>
      <c r="F230" s="2383" t="str">
        <f>INDEX(PT_DIFFERENTIATION_VTAR,MATCH(A230,PT_DIFFERENTIATION_VTAR_ID,0))</f>
        <v xml:space="preserve">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308</v>
      </c>
      <c r="M230" s="341"/>
      <c r="N230" s="334"/>
      <c r="O230" s="1624"/>
      <c r="P230" s="1624"/>
      <c r="AH230" s="1631">
        <v>0</v>
      </c>
    </row>
    <row r="231" s="1635" customFormat="1" ht="18.75" hidden="1" customHeight="1">
      <c r="A231" s="1780"/>
      <c r="B231" s="1780"/>
      <c r="C231" s="369" t="s">
        <v>1149</v>
      </c>
      <c r="D231" s="2462"/>
      <c r="E231" s="2204"/>
      <c r="F231" s="2383"/>
      <c r="G231" s="2427"/>
      <c r="H231" s="1500"/>
      <c r="I231" s="651" t="s">
        <v>1148</v>
      </c>
      <c r="J231" s="571"/>
      <c r="K231" s="1500"/>
      <c r="L231" s="214"/>
      <c r="M231" s="341"/>
      <c r="N231" s="334"/>
      <c r="O231" s="1624"/>
      <c r="P231" s="1624"/>
      <c r="AH231" s="1631">
        <v>0</v>
      </c>
    </row>
    <row r="232" s="1635" customFormat="1" ht="0.75" hidden="1" customHeight="1">
      <c r="A232" s="1780"/>
      <c r="B232" s="1780"/>
      <c r="C232" s="369" t="s">
        <v>1156</v>
      </c>
      <c r="D232" s="2462"/>
      <c r="E232" s="2204"/>
      <c r="F232" s="2383"/>
      <c r="G232" s="400"/>
      <c r="H232" s="1500"/>
      <c r="I232" s="651"/>
      <c r="J232" s="571"/>
      <c r="K232" s="1500"/>
      <c r="L232" s="214"/>
      <c r="M232" s="341"/>
      <c r="N232" s="334"/>
      <c r="O232" s="1624"/>
      <c r="P232" s="1624"/>
      <c r="AH232" s="1631">
        <v>0</v>
      </c>
    </row>
    <row r="233" s="1635" customFormat="1" ht="18.75" hidden="1" customHeight="1">
      <c r="A233" s="1780" t="s">
        <v>207</v>
      </c>
      <c r="B233" s="1780" t="s">
        <v>208</v>
      </c>
      <c r="C233" s="369"/>
      <c r="D233" s="2462"/>
      <c r="E233" s="2204"/>
      <c r="F233" s="2383" t="str">
        <f>INDEX(PT_DIFFERENTIATION_VTAR,MATCH(A233,PT_DIFFERENTIATION_VTAR_ID,0))</f>
        <v xml:space="preserve">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308</v>
      </c>
      <c r="M233" s="341"/>
      <c r="N233" s="334"/>
      <c r="O233" s="1624"/>
      <c r="P233" s="1624"/>
      <c r="AH233" s="1631">
        <v>0</v>
      </c>
    </row>
    <row r="234" s="1635" customFormat="1" ht="18.75" hidden="1" customHeight="1">
      <c r="A234" s="1780"/>
      <c r="B234" s="1780"/>
      <c r="C234" s="369" t="s">
        <v>1149</v>
      </c>
      <c r="D234" s="2462"/>
      <c r="E234" s="2204"/>
      <c r="F234" s="2383"/>
      <c r="G234" s="2427"/>
      <c r="H234" s="1500"/>
      <c r="I234" s="651" t="s">
        <v>1148</v>
      </c>
      <c r="J234" s="571"/>
      <c r="K234" s="1500"/>
      <c r="L234" s="214"/>
      <c r="M234" s="341"/>
      <c r="N234" s="334"/>
      <c r="O234" s="1624"/>
      <c r="P234" s="1624"/>
      <c r="AH234" s="1631">
        <v>0</v>
      </c>
    </row>
    <row r="235" s="1635" customFormat="1" ht="0.75" hidden="1" customHeight="1">
      <c r="A235" s="1780"/>
      <c r="B235" s="1780"/>
      <c r="C235" s="369" t="s">
        <v>1156</v>
      </c>
      <c r="D235" s="2462"/>
      <c r="E235" s="2204"/>
      <c r="F235" s="2383"/>
      <c r="G235" s="400"/>
      <c r="H235" s="1500"/>
      <c r="I235" s="651"/>
      <c r="J235" s="571"/>
      <c r="K235" s="1500"/>
      <c r="L235" s="214"/>
      <c r="M235" s="341"/>
      <c r="N235" s="334"/>
      <c r="O235" s="1624"/>
      <c r="P235" s="1624"/>
      <c r="AH235" s="1631">
        <v>0</v>
      </c>
    </row>
    <row r="236" s="1635" customFormat="1" ht="18.75" hidden="1" customHeight="1">
      <c r="A236" s="1780" t="s">
        <v>227</v>
      </c>
      <c r="B236" s="1780" t="s">
        <v>228</v>
      </c>
      <c r="C236" s="369"/>
      <c r="D236" s="2462"/>
      <c r="E236" s="2204"/>
      <c r="F236" s="2383" t="str">
        <f>INDEX(PT_DIFFERENTIATION_VTAR,MATCH(A236,PT_DIFFERENTIATION_VTAR_ID,0))</f>
        <v xml:space="preserve">Тариф на питьевую воду (питьевое водоснабжение)</v>
      </c>
      <c r="G236" s="2427" t="str">
        <f>INDEX(PT_DIFFERENTIATION_NTAR,MATCH(B236,PT_DIFFERENTIATION_NTAR_ID,0))</f>
        <v/>
      </c>
      <c r="H236" s="1862"/>
      <c r="I236" s="1739"/>
      <c r="J236" s="1773"/>
      <c r="K236" s="1778"/>
      <c r="L236" s="1862" t="s">
        <v>308</v>
      </c>
      <c r="M236" s="341"/>
      <c r="N236" s="334"/>
      <c r="O236" s="1624"/>
      <c r="P236" s="1624"/>
      <c r="AH236" s="1631">
        <v>0</v>
      </c>
    </row>
    <row r="237" s="1635" customFormat="1" ht="18.75" hidden="1" customHeight="1">
      <c r="A237" s="1780"/>
      <c r="B237" s="1780"/>
      <c r="C237" s="369" t="s">
        <v>1149</v>
      </c>
      <c r="D237" s="2462"/>
      <c r="E237" s="2204"/>
      <c r="F237" s="2383"/>
      <c r="G237" s="2427"/>
      <c r="H237" s="1500"/>
      <c r="I237" s="651" t="s">
        <v>1148</v>
      </c>
      <c r="J237" s="571"/>
      <c r="K237" s="1500"/>
      <c r="L237" s="214"/>
      <c r="M237" s="341"/>
      <c r="N237" s="334"/>
      <c r="O237" s="1624"/>
      <c r="P237" s="1624"/>
      <c r="AH237" s="1631">
        <v>0</v>
      </c>
    </row>
    <row r="238" s="1635" customFormat="1" ht="0.75" hidden="1" customHeight="1">
      <c r="A238" s="1780"/>
      <c r="B238" s="1780"/>
      <c r="C238" s="369" t="s">
        <v>1156</v>
      </c>
      <c r="D238" s="2462"/>
      <c r="E238" s="2204"/>
      <c r="F238" s="2383"/>
      <c r="G238" s="400"/>
      <c r="H238" s="1500"/>
      <c r="I238" s="651"/>
      <c r="J238" s="571"/>
      <c r="K238" s="1500"/>
      <c r="L238" s="214"/>
      <c r="M238" s="341"/>
      <c r="N238" s="334"/>
      <c r="O238" s="1624"/>
      <c r="P238" s="1624"/>
      <c r="AH238" s="1631">
        <v>0</v>
      </c>
    </row>
    <row r="239" s="1635" customFormat="1" ht="18.75" hidden="1" customHeight="1">
      <c r="A239" s="1780" t="s">
        <v>232</v>
      </c>
      <c r="B239" s="1780" t="s">
        <v>233</v>
      </c>
      <c r="C239" s="369"/>
      <c r="D239" s="2462"/>
      <c r="E239" s="2204"/>
      <c r="F239" s="2383" t="str">
        <f>INDEX(PT_DIFFERENTIATION_VTAR,MATCH(A239,PT_DIFFERENTIATION_VTAR_ID,0))</f>
        <v xml:space="preserve">Тариф на техническую воду</v>
      </c>
      <c r="G239" s="2427" t="str">
        <f>INDEX(PT_DIFFERENTIATION_NTAR,MATCH(B239,PT_DIFFERENTIATION_NTAR_ID,0))</f>
        <v/>
      </c>
      <c r="H239" s="1862"/>
      <c r="I239" s="1739"/>
      <c r="J239" s="1773"/>
      <c r="K239" s="1778"/>
      <c r="L239" s="1862" t="s">
        <v>308</v>
      </c>
      <c r="M239" s="341"/>
      <c r="N239" s="334"/>
      <c r="O239" s="1624"/>
      <c r="P239" s="1624"/>
      <c r="AH239" s="1631">
        <v>0</v>
      </c>
    </row>
    <row r="240" s="1635" customFormat="1" ht="18.75" hidden="1" customHeight="1">
      <c r="A240" s="1780"/>
      <c r="B240" s="1780"/>
      <c r="C240" s="369" t="s">
        <v>1149</v>
      </c>
      <c r="D240" s="2462"/>
      <c r="E240" s="2204"/>
      <c r="F240" s="2383"/>
      <c r="G240" s="2427"/>
      <c r="H240" s="1500"/>
      <c r="I240" s="651" t="s">
        <v>1148</v>
      </c>
      <c r="J240" s="571"/>
      <c r="K240" s="1500"/>
      <c r="L240" s="214"/>
      <c r="M240" s="341"/>
      <c r="N240" s="334"/>
      <c r="O240" s="1624"/>
      <c r="P240" s="1624"/>
      <c r="AH240" s="1631">
        <v>0</v>
      </c>
    </row>
    <row r="241" s="1635" customFormat="1" ht="0.75" hidden="1" customHeight="1">
      <c r="A241" s="1780"/>
      <c r="B241" s="1780"/>
      <c r="C241" s="369" t="s">
        <v>1156</v>
      </c>
      <c r="D241" s="2462"/>
      <c r="E241" s="2204"/>
      <c r="F241" s="2383"/>
      <c r="G241" s="400"/>
      <c r="H241" s="1500"/>
      <c r="I241" s="651"/>
      <c r="J241" s="571"/>
      <c r="K241" s="1500"/>
      <c r="L241" s="214"/>
      <c r="M241" s="341"/>
      <c r="N241" s="334"/>
      <c r="O241" s="1624"/>
      <c r="P241" s="1624"/>
      <c r="AH241" s="1631">
        <v>0</v>
      </c>
    </row>
    <row r="242" s="1635" customFormat="1" ht="18.75" hidden="1" customHeight="1">
      <c r="A242" s="1780" t="s">
        <v>237</v>
      </c>
      <c r="B242" s="1780" t="s">
        <v>238</v>
      </c>
      <c r="C242" s="369"/>
      <c r="D242" s="2462"/>
      <c r="E242" s="2204"/>
      <c r="F242" s="2383" t="str">
        <f>INDEX(PT_DIFFERENTIATION_VTAR,MATCH(A242,PT_DIFFERENTIATION_VTAR_ID,0))</f>
        <v xml:space="preserve">Тариф на транспортировку воды</v>
      </c>
      <c r="G242" s="2427" t="str">
        <f>INDEX(PT_DIFFERENTIATION_NTAR,MATCH(B242,PT_DIFFERENTIATION_NTAR_ID,0))</f>
        <v/>
      </c>
      <c r="H242" s="1862"/>
      <c r="I242" s="1739"/>
      <c r="J242" s="1773"/>
      <c r="K242" s="1778"/>
      <c r="L242" s="1862" t="s">
        <v>308</v>
      </c>
      <c r="M242" s="341"/>
      <c r="N242" s="334"/>
      <c r="O242" s="1624"/>
      <c r="P242" s="1624"/>
      <c r="AH242" s="1631">
        <v>0</v>
      </c>
    </row>
    <row r="243" s="1635" customFormat="1" ht="18.75" hidden="1" customHeight="1">
      <c r="A243" s="1780"/>
      <c r="B243" s="1780"/>
      <c r="C243" s="369" t="s">
        <v>1149</v>
      </c>
      <c r="D243" s="2462"/>
      <c r="E243" s="2204"/>
      <c r="F243" s="2383"/>
      <c r="G243" s="2427"/>
      <c r="H243" s="1500"/>
      <c r="I243" s="651" t="s">
        <v>1148</v>
      </c>
      <c r="J243" s="571"/>
      <c r="K243" s="1500"/>
      <c r="L243" s="214"/>
      <c r="M243" s="341"/>
      <c r="N243" s="334"/>
      <c r="O243" s="1624"/>
      <c r="P243" s="1624"/>
      <c r="AH243" s="1631">
        <v>0</v>
      </c>
    </row>
    <row r="244" s="1635" customFormat="1" ht="0.75" hidden="1" customHeight="1">
      <c r="A244" s="1780"/>
      <c r="B244" s="1780"/>
      <c r="C244" s="369" t="s">
        <v>1156</v>
      </c>
      <c r="D244" s="2462"/>
      <c r="E244" s="2204"/>
      <c r="F244" s="2383"/>
      <c r="G244" s="400"/>
      <c r="H244" s="1500"/>
      <c r="I244" s="651"/>
      <c r="J244" s="571"/>
      <c r="K244" s="1500"/>
      <c r="L244" s="214"/>
      <c r="M244" s="341"/>
      <c r="N244" s="334"/>
      <c r="O244" s="1624"/>
      <c r="P244" s="1624"/>
      <c r="AH244" s="1631">
        <v>0</v>
      </c>
    </row>
    <row r="245" s="1635" customFormat="1" ht="18.75" hidden="1" customHeight="1">
      <c r="A245" s="1780" t="s">
        <v>242</v>
      </c>
      <c r="B245" s="1780" t="s">
        <v>243</v>
      </c>
      <c r="C245" s="369"/>
      <c r="D245" s="2462"/>
      <c r="E245" s="2204"/>
      <c r="F245" s="2383" t="str">
        <f>INDEX(PT_DIFFERENTIATION_VTAR,MATCH(A245,PT_DIFFERENTIATION_VTAR_ID,0))</f>
        <v xml:space="preserve">Тариф на подвоз воды</v>
      </c>
      <c r="G245" s="2427" t="str">
        <f>INDEX(PT_DIFFERENTIATION_NTAR,MATCH(B245,PT_DIFFERENTIATION_NTAR_ID,0))</f>
        <v/>
      </c>
      <c r="H245" s="1862"/>
      <c r="I245" s="1739"/>
      <c r="J245" s="1773"/>
      <c r="K245" s="1778"/>
      <c r="L245" s="1862" t="s">
        <v>308</v>
      </c>
      <c r="M245" s="341"/>
      <c r="N245" s="334"/>
      <c r="O245" s="1624"/>
      <c r="P245" s="1624"/>
      <c r="AH245" s="1631">
        <v>0</v>
      </c>
    </row>
    <row r="246" s="1635" customFormat="1" ht="18.75" hidden="1" customHeight="1">
      <c r="A246" s="1780"/>
      <c r="B246" s="1780"/>
      <c r="C246" s="369" t="s">
        <v>1149</v>
      </c>
      <c r="D246" s="2462"/>
      <c r="E246" s="2204"/>
      <c r="F246" s="2383"/>
      <c r="G246" s="2427"/>
      <c r="H246" s="1500"/>
      <c r="I246" s="651" t="s">
        <v>1148</v>
      </c>
      <c r="J246" s="571"/>
      <c r="K246" s="1500"/>
      <c r="L246" s="214"/>
      <c r="M246" s="341"/>
      <c r="N246" s="334"/>
      <c r="O246" s="1624"/>
      <c r="P246" s="1624"/>
      <c r="AH246" s="1631">
        <v>0</v>
      </c>
    </row>
    <row r="247" s="1635" customFormat="1" ht="0.75" hidden="1" customHeight="1">
      <c r="A247" s="1780"/>
      <c r="B247" s="1780"/>
      <c r="C247" s="369" t="s">
        <v>1156</v>
      </c>
      <c r="D247" s="2462"/>
      <c r="E247" s="2204"/>
      <c r="F247" s="2383"/>
      <c r="G247" s="400"/>
      <c r="H247" s="1500"/>
      <c r="I247" s="651"/>
      <c r="J247" s="571"/>
      <c r="K247" s="1500"/>
      <c r="L247" s="214"/>
      <c r="M247" s="341"/>
      <c r="N247" s="334"/>
      <c r="O247" s="1624"/>
      <c r="P247" s="1624"/>
      <c r="AH247" s="1631">
        <v>0</v>
      </c>
    </row>
    <row r="248" s="1635" customFormat="1" ht="18.75" hidden="1" customHeight="1">
      <c r="A248" s="1780" t="s">
        <v>247</v>
      </c>
      <c r="B248" s="1780" t="s">
        <v>248</v>
      </c>
      <c r="C248" s="369"/>
      <c r="D248" s="2462"/>
      <c r="E248" s="2204"/>
      <c r="F248" s="2383" t="str">
        <f>INDEX(PT_DIFFERENTIATION_VTAR,MATCH(A248,PT_DIFFERENTIATION_VTAR_ID,0))</f>
        <v xml:space="preserve">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308</v>
      </c>
      <c r="M248" s="341"/>
      <c r="N248" s="334"/>
      <c r="O248" s="1624"/>
      <c r="P248" s="1624"/>
      <c r="AH248" s="1631">
        <v>0</v>
      </c>
    </row>
    <row r="249" s="1635" customFormat="1" ht="18.75" hidden="1" customHeight="1">
      <c r="A249" s="1780"/>
      <c r="B249" s="1780"/>
      <c r="C249" s="369" t="s">
        <v>1149</v>
      </c>
      <c r="D249" s="2462"/>
      <c r="E249" s="2204"/>
      <c r="F249" s="2383"/>
      <c r="G249" s="2427"/>
      <c r="H249" s="1500"/>
      <c r="I249" s="651" t="s">
        <v>1148</v>
      </c>
      <c r="J249" s="571"/>
      <c r="K249" s="1500"/>
      <c r="L249" s="214"/>
      <c r="M249" s="341"/>
      <c r="N249" s="334"/>
      <c r="O249" s="1624"/>
      <c r="P249" s="1624"/>
      <c r="AH249" s="1631">
        <v>0</v>
      </c>
    </row>
    <row r="250" s="1635" customFormat="1" ht="0.75" hidden="1" customHeight="1">
      <c r="A250" s="1780"/>
      <c r="B250" s="1780"/>
      <c r="C250" s="369" t="s">
        <v>1156</v>
      </c>
      <c r="D250" s="2462"/>
      <c r="E250" s="2204"/>
      <c r="F250" s="2383"/>
      <c r="G250" s="400"/>
      <c r="H250" s="1500"/>
      <c r="I250" s="651"/>
      <c r="J250" s="571"/>
      <c r="K250" s="1500"/>
      <c r="L250" s="214"/>
      <c r="M250" s="341"/>
      <c r="N250" s="334"/>
      <c r="O250" s="1624"/>
      <c r="P250" s="1624"/>
      <c r="AH250" s="1631">
        <v>0</v>
      </c>
    </row>
    <row r="251" s="1635" customFormat="1" ht="18.75" hidden="1" customHeight="1">
      <c r="A251" s="1780" t="s">
        <v>252</v>
      </c>
      <c r="B251" s="1780" t="s">
        <v>253</v>
      </c>
      <c r="C251" s="369"/>
      <c r="D251" s="2462"/>
      <c r="E251" s="2204"/>
      <c r="F251" s="2383" t="str">
        <f>INDEX(PT_DIFFERENTIATION_VTAR,MATCH(A251,PT_DIFFERENTIATION_VTAR_ID,0))</f>
        <v xml:space="preserve">Тариф на горячую воду (горячее водоснабжение)</v>
      </c>
      <c r="G251" s="2427" t="str">
        <f>INDEX(PT_DIFFERENTIATION_NTAR,MATCH(B251,PT_DIFFERENTIATION_NTAR_ID,0))</f>
        <v/>
      </c>
      <c r="H251" s="1862"/>
      <c r="I251" s="1739"/>
      <c r="J251" s="1773"/>
      <c r="K251" s="1778"/>
      <c r="L251" s="1862" t="s">
        <v>308</v>
      </c>
      <c r="M251" s="341"/>
      <c r="N251" s="334"/>
      <c r="O251" s="1624"/>
      <c r="P251" s="1624"/>
      <c r="AH251" s="1631">
        <v>0</v>
      </c>
    </row>
    <row r="252" s="1635" customFormat="1" ht="18.75" hidden="1" customHeight="1">
      <c r="A252" s="1780"/>
      <c r="B252" s="1780"/>
      <c r="C252" s="369" t="s">
        <v>1149</v>
      </c>
      <c r="D252" s="2462"/>
      <c r="E252" s="2204"/>
      <c r="F252" s="2383"/>
      <c r="G252" s="2427"/>
      <c r="H252" s="1500"/>
      <c r="I252" s="651" t="s">
        <v>1148</v>
      </c>
      <c r="J252" s="571"/>
      <c r="K252" s="1500"/>
      <c r="L252" s="214"/>
      <c r="M252" s="341"/>
      <c r="N252" s="334"/>
      <c r="O252" s="1624"/>
      <c r="P252" s="1624"/>
      <c r="AH252" s="1631">
        <v>0</v>
      </c>
    </row>
    <row r="253" s="1635" customFormat="1" ht="0.75" hidden="1" customHeight="1">
      <c r="A253" s="1780"/>
      <c r="B253" s="1780"/>
      <c r="C253" s="369" t="s">
        <v>1156</v>
      </c>
      <c r="D253" s="2462"/>
      <c r="E253" s="2204"/>
      <c r="F253" s="2383"/>
      <c r="G253" s="400"/>
      <c r="H253" s="1500"/>
      <c r="I253" s="651"/>
      <c r="J253" s="571"/>
      <c r="K253" s="1500"/>
      <c r="L253" s="214"/>
      <c r="M253" s="341"/>
      <c r="N253" s="334"/>
      <c r="O253" s="1624"/>
      <c r="P253" s="1624"/>
      <c r="AH253" s="1631">
        <v>0</v>
      </c>
    </row>
    <row r="254" s="1635" customFormat="1" ht="18.75" hidden="1" customHeight="1">
      <c r="A254" s="1780" t="s">
        <v>257</v>
      </c>
      <c r="B254" s="1780" t="s">
        <v>258</v>
      </c>
      <c r="C254" s="369"/>
      <c r="D254" s="2462"/>
      <c r="E254" s="2204"/>
      <c r="F254" s="2383" t="str">
        <f>INDEX(PT_DIFFERENTIATION_VTAR,MATCH(A254,PT_DIFFERENTIATION_VTAR_ID,0))</f>
        <v xml:space="preserve">Тариф на транспортировку горячей воды</v>
      </c>
      <c r="G254" s="2427" t="str">
        <f>INDEX(PT_DIFFERENTIATION_NTAR,MATCH(B254,PT_DIFFERENTIATION_NTAR_ID,0))</f>
        <v/>
      </c>
      <c r="H254" s="1862"/>
      <c r="I254" s="1739"/>
      <c r="J254" s="1773"/>
      <c r="K254" s="1778"/>
      <c r="L254" s="1862" t="s">
        <v>308</v>
      </c>
      <c r="M254" s="341"/>
      <c r="N254" s="334"/>
      <c r="O254" s="1624"/>
      <c r="P254" s="1624"/>
      <c r="AH254" s="1631">
        <v>0</v>
      </c>
    </row>
    <row r="255" s="1635" customFormat="1" ht="18.75" hidden="1" customHeight="1">
      <c r="A255" s="1780"/>
      <c r="B255" s="1780"/>
      <c r="C255" s="369" t="s">
        <v>1149</v>
      </c>
      <c r="D255" s="2462"/>
      <c r="E255" s="2204"/>
      <c r="F255" s="2383"/>
      <c r="G255" s="2427"/>
      <c r="H255" s="1500"/>
      <c r="I255" s="651" t="s">
        <v>1148</v>
      </c>
      <c r="J255" s="571"/>
      <c r="K255" s="1500"/>
      <c r="L255" s="214"/>
      <c r="M255" s="341"/>
      <c r="N255" s="334"/>
      <c r="O255" s="1624"/>
      <c r="P255" s="1624"/>
      <c r="AH255" s="1631">
        <v>0</v>
      </c>
    </row>
    <row r="256" s="1635" customFormat="1" ht="0.75" hidden="1" customHeight="1">
      <c r="A256" s="1780"/>
      <c r="B256" s="1780"/>
      <c r="C256" s="369" t="s">
        <v>1156</v>
      </c>
      <c r="D256" s="2462"/>
      <c r="E256" s="2204"/>
      <c r="F256" s="2383"/>
      <c r="G256" s="400"/>
      <c r="H256" s="1500"/>
      <c r="I256" s="651"/>
      <c r="J256" s="571"/>
      <c r="K256" s="1500"/>
      <c r="L256" s="214"/>
      <c r="M256" s="341"/>
      <c r="N256" s="334"/>
      <c r="O256" s="1624"/>
      <c r="P256" s="1624"/>
      <c r="AH256" s="1631">
        <v>0</v>
      </c>
    </row>
    <row r="257" s="1635" customFormat="1" ht="18.75" hidden="1" customHeight="1">
      <c r="A257" s="1780" t="s">
        <v>262</v>
      </c>
      <c r="B257" s="1780" t="s">
        <v>263</v>
      </c>
      <c r="C257" s="369"/>
      <c r="D257" s="2462"/>
      <c r="E257" s="2204"/>
      <c r="F257" s="2383" t="str">
        <f>INDEX(PT_DIFFERENTIATION_VTAR,MATCH(A257,PT_DIFFERENTIATION_VTAR_ID,0))</f>
        <v xml:space="preserve">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308</v>
      </c>
      <c r="M257" s="341"/>
      <c r="N257" s="334"/>
      <c r="O257" s="1624"/>
      <c r="P257" s="1624"/>
      <c r="AH257" s="1631">
        <v>0</v>
      </c>
    </row>
    <row r="258" s="1635" customFormat="1" ht="18.75" hidden="1" customHeight="1">
      <c r="A258" s="1780"/>
      <c r="B258" s="1780"/>
      <c r="C258" s="369" t="s">
        <v>1149</v>
      </c>
      <c r="D258" s="2462"/>
      <c r="E258" s="2204"/>
      <c r="F258" s="2383"/>
      <c r="G258" s="2427"/>
      <c r="H258" s="1500"/>
      <c r="I258" s="651" t="s">
        <v>1148</v>
      </c>
      <c r="J258" s="571"/>
      <c r="K258" s="1500"/>
      <c r="L258" s="214"/>
      <c r="M258" s="341"/>
      <c r="N258" s="334"/>
      <c r="O258" s="1624"/>
      <c r="P258" s="1624"/>
      <c r="AH258" s="1631">
        <v>0</v>
      </c>
    </row>
    <row r="259" s="1635" customFormat="1" ht="0.75" hidden="1" customHeight="1">
      <c r="A259" s="1780"/>
      <c r="B259" s="1780"/>
      <c r="C259" s="369" t="s">
        <v>1156</v>
      </c>
      <c r="D259" s="2462"/>
      <c r="E259" s="2204"/>
      <c r="F259" s="2383"/>
      <c r="G259" s="400"/>
      <c r="H259" s="1500"/>
      <c r="I259" s="651"/>
      <c r="J259" s="571"/>
      <c r="K259" s="1500"/>
      <c r="L259" s="214"/>
      <c r="M259" s="341"/>
      <c r="N259" s="334"/>
      <c r="O259" s="1624"/>
      <c r="P259" s="1624"/>
      <c r="AH259" s="1631">
        <v>0</v>
      </c>
    </row>
    <row r="260" s="1635" customFormat="1" ht="18.75" hidden="1" customHeight="1">
      <c r="A260" s="1780" t="s">
        <v>267</v>
      </c>
      <c r="B260" s="1780" t="s">
        <v>268</v>
      </c>
      <c r="C260" s="369"/>
      <c r="D260" s="2462"/>
      <c r="E260" s="2204"/>
      <c r="F260" s="2383" t="str">
        <f>INDEX(PT_DIFFERENTIATION_VTAR,MATCH(A260,PT_DIFFERENTIATION_VTAR_ID,0))</f>
        <v xml:space="preserve">Тариф на водоотведение</v>
      </c>
      <c r="G260" s="2427" t="str">
        <f>INDEX(PT_DIFFERENTIATION_NTAR,MATCH(B260,PT_DIFFERENTIATION_NTAR_ID,0))</f>
        <v/>
      </c>
      <c r="H260" s="1862"/>
      <c r="I260" s="1739"/>
      <c r="J260" s="1773"/>
      <c r="K260" s="1778"/>
      <c r="L260" s="1862" t="s">
        <v>308</v>
      </c>
      <c r="M260" s="341"/>
      <c r="N260" s="334"/>
      <c r="O260" s="1624"/>
      <c r="P260" s="1624"/>
      <c r="AH260" s="1631">
        <v>0</v>
      </c>
    </row>
    <row r="261" s="1635" customFormat="1" ht="18.75" hidden="1" customHeight="1">
      <c r="A261" s="1780"/>
      <c r="B261" s="1780"/>
      <c r="C261" s="369" t="s">
        <v>1149</v>
      </c>
      <c r="D261" s="2462"/>
      <c r="E261" s="2204"/>
      <c r="F261" s="2383"/>
      <c r="G261" s="2427"/>
      <c r="H261" s="1500"/>
      <c r="I261" s="651" t="s">
        <v>1148</v>
      </c>
      <c r="J261" s="571"/>
      <c r="K261" s="1500"/>
      <c r="L261" s="214"/>
      <c r="M261" s="341"/>
      <c r="N261" s="334"/>
      <c r="O261" s="1624"/>
      <c r="P261" s="1624"/>
      <c r="AH261" s="1631">
        <v>0</v>
      </c>
    </row>
    <row r="262" s="1635" customFormat="1" ht="0.75" hidden="1" customHeight="1">
      <c r="A262" s="1780"/>
      <c r="B262" s="1780"/>
      <c r="C262" s="369" t="s">
        <v>1156</v>
      </c>
      <c r="D262" s="2462"/>
      <c r="E262" s="2204"/>
      <c r="F262" s="2383"/>
      <c r="G262" s="400"/>
      <c r="H262" s="1500"/>
      <c r="I262" s="651"/>
      <c r="J262" s="571"/>
      <c r="K262" s="1500"/>
      <c r="L262" s="214"/>
      <c r="M262" s="341"/>
      <c r="N262" s="334"/>
      <c r="O262" s="1624"/>
      <c r="P262" s="1624"/>
      <c r="AH262" s="1631">
        <v>0</v>
      </c>
    </row>
    <row r="263" s="1635" customFormat="1" ht="18.75" hidden="1" customHeight="1">
      <c r="A263" s="1780" t="s">
        <v>272</v>
      </c>
      <c r="B263" s="1780" t="s">
        <v>273</v>
      </c>
      <c r="C263" s="369"/>
      <c r="D263" s="2462"/>
      <c r="E263" s="2204"/>
      <c r="F263" s="2383" t="str">
        <f>INDEX(PT_DIFFERENTIATION_VTAR,MATCH(A263,PT_DIFFERENTIATION_VTAR_ID,0))</f>
        <v xml:space="preserve">Тариф на транспортировку сточных вод</v>
      </c>
      <c r="G263" s="2427" t="str">
        <f>INDEX(PT_DIFFERENTIATION_NTAR,MATCH(B263,PT_DIFFERENTIATION_NTAR_ID,0))</f>
        <v/>
      </c>
      <c r="H263" s="1862"/>
      <c r="I263" s="1739"/>
      <c r="J263" s="1773"/>
      <c r="K263" s="1778"/>
      <c r="L263" s="1862" t="s">
        <v>308</v>
      </c>
      <c r="M263" s="341"/>
      <c r="N263" s="334"/>
      <c r="O263" s="1624"/>
      <c r="P263" s="1624"/>
      <c r="AH263" s="1631">
        <v>0</v>
      </c>
    </row>
    <row r="264" s="1635" customFormat="1" ht="18.75" hidden="1" customHeight="1">
      <c r="A264" s="1780"/>
      <c r="B264" s="1780"/>
      <c r="C264" s="369" t="s">
        <v>1149</v>
      </c>
      <c r="D264" s="2462"/>
      <c r="E264" s="2204"/>
      <c r="F264" s="2383"/>
      <c r="G264" s="2427"/>
      <c r="H264" s="1500"/>
      <c r="I264" s="651" t="s">
        <v>1148</v>
      </c>
      <c r="J264" s="571"/>
      <c r="K264" s="1500"/>
      <c r="L264" s="214"/>
      <c r="M264" s="341"/>
      <c r="N264" s="334"/>
      <c r="O264" s="1624"/>
      <c r="P264" s="1624"/>
      <c r="AH264" s="1631">
        <v>0</v>
      </c>
    </row>
    <row r="265" s="1635" customFormat="1" ht="0.75" hidden="1" customHeight="1">
      <c r="A265" s="1780"/>
      <c r="B265" s="1780"/>
      <c r="C265" s="369" t="s">
        <v>1156</v>
      </c>
      <c r="D265" s="2462"/>
      <c r="E265" s="2204"/>
      <c r="F265" s="2383"/>
      <c r="G265" s="400"/>
      <c r="H265" s="1500"/>
      <c r="I265" s="651"/>
      <c r="J265" s="571"/>
      <c r="K265" s="1500"/>
      <c r="L265" s="214"/>
      <c r="M265" s="341"/>
      <c r="N265" s="334"/>
      <c r="O265" s="1624"/>
      <c r="P265" s="1624"/>
      <c r="AH265" s="1631">
        <v>0</v>
      </c>
    </row>
    <row r="266" s="1635" customFormat="1" ht="18.75" hidden="1" customHeight="1">
      <c r="A266" s="1780" t="s">
        <v>277</v>
      </c>
      <c r="B266" s="1780" t="s">
        <v>278</v>
      </c>
      <c r="C266" s="369"/>
      <c r="D266" s="2462"/>
      <c r="E266" s="2204"/>
      <c r="F266" s="2383" t="str">
        <f>INDEX(PT_DIFFERENTIATION_VTAR,MATCH(A266,PT_DIFFERENTIATION_VTAR_ID,0))</f>
        <v xml:space="preserve">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308</v>
      </c>
      <c r="M266" s="341"/>
      <c r="N266" s="334"/>
      <c r="O266" s="1624"/>
      <c r="P266" s="1624"/>
      <c r="AH266" s="1631">
        <v>0</v>
      </c>
    </row>
    <row r="267" s="1635" customFormat="1" ht="18.75" hidden="1" customHeight="1">
      <c r="A267" s="1780"/>
      <c r="B267" s="1780"/>
      <c r="C267" s="369" t="s">
        <v>1149</v>
      </c>
      <c r="D267" s="2462"/>
      <c r="E267" s="2204"/>
      <c r="F267" s="2383"/>
      <c r="G267" s="2427"/>
      <c r="H267" s="1500"/>
      <c r="I267" s="651" t="s">
        <v>1148</v>
      </c>
      <c r="J267" s="571"/>
      <c r="K267" s="1500"/>
      <c r="L267" s="214"/>
      <c r="M267" s="341"/>
      <c r="N267" s="334"/>
      <c r="O267" s="1624"/>
      <c r="P267" s="1624"/>
      <c r="AH267" s="1631">
        <v>0</v>
      </c>
    </row>
    <row r="268" s="1635" customFormat="1" ht="1.05" customHeight="1">
      <c r="A268" s="1780"/>
      <c r="B268" s="1780"/>
      <c r="C268" s="369" t="s">
        <v>1156</v>
      </c>
      <c r="D268" s="2462"/>
      <c r="E268" s="2204"/>
      <c r="F268" s="2383"/>
      <c r="G268" s="400"/>
      <c r="H268" s="1500"/>
      <c r="I268" s="651"/>
      <c r="J268" s="571"/>
      <c r="K268" s="1500"/>
      <c r="L268" s="214"/>
      <c r="M268" s="341"/>
      <c r="N268" s="334"/>
      <c r="O268" s="1624"/>
      <c r="P268" s="1624"/>
      <c r="AH268" s="1631">
        <v>1</v>
      </c>
    </row>
    <row r="269" ht="27.300000000000001" customHeight="1">
      <c r="A269" s="1780"/>
      <c r="B269" s="1780"/>
      <c r="D269" s="376"/>
      <c r="E269" s="147" t="s">
        <v>91</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 xml:space="preserve">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0"/>
      <c r="H269" s="2460"/>
      <c r="I269" s="2460"/>
      <c r="J269" s="2460"/>
      <c r="K269" s="2460"/>
      <c r="L269" s="2460"/>
      <c r="M269" s="297"/>
      <c r="N269" s="334"/>
      <c r="AH269" s="374">
        <v>26</v>
      </c>
    </row>
    <row r="270" s="1635" customFormat="1" ht="60.75" hidden="1" customHeight="1">
      <c r="A270" s="1780" t="s">
        <v>159</v>
      </c>
      <c r="B270" s="1780" t="s">
        <v>160</v>
      </c>
      <c r="C270" s="369"/>
      <c r="D270" s="2462"/>
      <c r="E270" s="2204"/>
      <c r="F270" s="2383" t="str">
        <f>INDEX(PT_DIFFERENTIATION_VTAR,MATCH(A270,PT_DIFFERENTIATION_VTAR_ID,0))</f>
        <v xml:space="preserve">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308</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 xml:space="preserve">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r="271" s="1635" customFormat="1" ht="18.75" hidden="1" customHeight="1">
      <c r="A271" s="1780"/>
      <c r="B271" s="1780"/>
      <c r="C271" s="369" t="s">
        <v>1149</v>
      </c>
      <c r="D271" s="2462"/>
      <c r="E271" s="2204"/>
      <c r="F271" s="2383"/>
      <c r="G271" s="2427"/>
      <c r="H271" s="1500"/>
      <c r="I271" s="651" t="s">
        <v>1148</v>
      </c>
      <c r="J271" s="571"/>
      <c r="K271" s="1500"/>
      <c r="L271" s="214"/>
      <c r="M271" s="2170"/>
      <c r="N271" s="334"/>
      <c r="O271" s="1624"/>
      <c r="P271" s="1624"/>
      <c r="AH271" s="1631">
        <v>0</v>
      </c>
    </row>
    <row r="272" s="1635" customFormat="1" ht="0.75" hidden="1" customHeight="1">
      <c r="A272" s="1780"/>
      <c r="B272" s="1780"/>
      <c r="C272" s="369" t="s">
        <v>1156</v>
      </c>
      <c r="D272" s="2462"/>
      <c r="E272" s="2204"/>
      <c r="F272" s="2383"/>
      <c r="G272" s="400"/>
      <c r="H272" s="1500"/>
      <c r="I272" s="651"/>
      <c r="J272" s="571"/>
      <c r="K272" s="1500"/>
      <c r="L272" s="214"/>
      <c r="M272" s="2170"/>
      <c r="N272" s="334"/>
      <c r="O272" s="1624"/>
      <c r="P272" s="1624"/>
      <c r="AH272" s="1631">
        <v>0</v>
      </c>
    </row>
    <row r="273" s="1635" customFormat="1" ht="45" hidden="1" customHeight="1">
      <c r="A273" s="1780" t="s">
        <v>164</v>
      </c>
      <c r="B273" s="1780" t="s">
        <v>165</v>
      </c>
      <c r="C273" s="369"/>
      <c r="D273" s="2462"/>
      <c r="E273" s="2204"/>
      <c r="F273" s="2383" t="str">
        <f>INDEX(PT_DIFFERENTIATION_VTAR,MATCH(A273,PT_DIFFERENTIATION_VTAR_ID,0))</f>
        <v/>
      </c>
      <c r="G273" s="2427" t="str">
        <f>INDEX(PT_DIFFERENTIATION_NTAR,MATCH(B273,PT_DIFFERENTIATION_NTAR_ID,0))</f>
        <v/>
      </c>
      <c r="H273" s="1862"/>
      <c r="I273" s="1739"/>
      <c r="J273" s="1773"/>
      <c r="K273" s="1778"/>
      <c r="L273" s="1862" t="s">
        <v>308</v>
      </c>
      <c r="M273" s="2171"/>
      <c r="N273" s="334"/>
      <c r="O273" s="1624"/>
      <c r="P273" s="1624"/>
      <c r="AH273" s="1631">
        <v>0</v>
      </c>
    </row>
    <row r="274" s="1635" customFormat="1" ht="18.75" hidden="1" customHeight="1">
      <c r="A274" s="1780"/>
      <c r="B274" s="1780"/>
      <c r="C274" s="369" t="s">
        <v>1149</v>
      </c>
      <c r="D274" s="2462"/>
      <c r="E274" s="2204"/>
      <c r="F274" s="2383"/>
      <c r="G274" s="2427"/>
      <c r="H274" s="1500"/>
      <c r="I274" s="651" t="s">
        <v>1148</v>
      </c>
      <c r="J274" s="571"/>
      <c r="K274" s="1500"/>
      <c r="L274" s="214"/>
      <c r="M274" s="1861"/>
      <c r="N274" s="334"/>
      <c r="O274" s="1624"/>
      <c r="P274" s="1624"/>
      <c r="AH274" s="1631">
        <v>0</v>
      </c>
    </row>
    <row r="275" s="1635" customFormat="1" ht="0.75" hidden="1" customHeight="1">
      <c r="A275" s="1780"/>
      <c r="B275" s="1780"/>
      <c r="C275" s="369" t="s">
        <v>1156</v>
      </c>
      <c r="D275" s="2462"/>
      <c r="E275" s="2204"/>
      <c r="F275" s="2383"/>
      <c r="G275" s="400"/>
      <c r="H275" s="1500"/>
      <c r="I275" s="651"/>
      <c r="J275" s="571"/>
      <c r="K275" s="1500"/>
      <c r="L275" s="214"/>
      <c r="M275" s="341"/>
      <c r="N275" s="334"/>
      <c r="O275" s="1624"/>
      <c r="P275" s="1624"/>
      <c r="AH275" s="1631">
        <v>0</v>
      </c>
    </row>
    <row r="276" s="1635" customFormat="1" ht="45" hidden="1" customHeight="1">
      <c r="A276" s="1780" t="s">
        <v>171</v>
      </c>
      <c r="B276" s="1780" t="s">
        <v>172</v>
      </c>
      <c r="C276" s="369"/>
      <c r="D276" s="2462"/>
      <c r="E276" s="2204"/>
      <c r="F276" s="2383" t="str">
        <f>INDEX(PT_DIFFERENTIATION_VTAR,MATCH(A276,PT_DIFFERENTIATION_VTAR_ID,0))</f>
        <v xml:space="preserve">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308</v>
      </c>
      <c r="M276" s="341"/>
      <c r="N276" s="334"/>
      <c r="O276" s="1624"/>
      <c r="P276" s="1624"/>
      <c r="AH276" s="1631">
        <v>0</v>
      </c>
    </row>
    <row r="277" s="1635" customFormat="1" ht="18.75" hidden="1" customHeight="1">
      <c r="A277" s="1780"/>
      <c r="B277" s="1780"/>
      <c r="C277" s="369" t="s">
        <v>1149</v>
      </c>
      <c r="D277" s="2462"/>
      <c r="E277" s="2204"/>
      <c r="F277" s="2383"/>
      <c r="G277" s="2427"/>
      <c r="H277" s="1500"/>
      <c r="I277" s="651" t="s">
        <v>1148</v>
      </c>
      <c r="J277" s="571"/>
      <c r="K277" s="1500"/>
      <c r="L277" s="214"/>
      <c r="M277" s="341"/>
      <c r="N277" s="334"/>
      <c r="O277" s="1624"/>
      <c r="P277" s="1624"/>
      <c r="AH277" s="1631">
        <v>0</v>
      </c>
    </row>
    <row r="278" s="1635" customFormat="1" ht="0.75" hidden="1" customHeight="1">
      <c r="A278" s="1780"/>
      <c r="B278" s="1780"/>
      <c r="C278" s="369" t="s">
        <v>1156</v>
      </c>
      <c r="D278" s="2462"/>
      <c r="E278" s="2204"/>
      <c r="F278" s="2383"/>
      <c r="G278" s="400"/>
      <c r="H278" s="1500"/>
      <c r="I278" s="651"/>
      <c r="J278" s="571"/>
      <c r="K278" s="1500"/>
      <c r="L278" s="214"/>
      <c r="M278" s="341"/>
      <c r="N278" s="334"/>
      <c r="O278" s="1624"/>
      <c r="P278" s="1624"/>
      <c r="AH278" s="1631">
        <v>0</v>
      </c>
    </row>
    <row r="279" s="1635" customFormat="1" ht="45" hidden="1" customHeight="1">
      <c r="A279" s="1780" t="s">
        <v>177</v>
      </c>
      <c r="B279" s="1780" t="s">
        <v>178</v>
      </c>
      <c r="C279" s="369"/>
      <c r="D279" s="2462"/>
      <c r="E279" s="2204"/>
      <c r="F279" s="2383" t="str">
        <f>INDEX(PT_DIFFERENTIATION_VTAR,MATCH(A279,PT_DIFFERENTIATION_VTAR_ID,0))</f>
        <v xml:space="preserve">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308</v>
      </c>
      <c r="M279" s="341"/>
      <c r="N279" s="334"/>
      <c r="O279" s="1624"/>
      <c r="P279" s="1624"/>
      <c r="AH279" s="1631">
        <v>0</v>
      </c>
    </row>
    <row r="280" s="1635" customFormat="1" ht="18.75" hidden="1" customHeight="1">
      <c r="A280" s="1780"/>
      <c r="B280" s="1780"/>
      <c r="C280" s="369" t="s">
        <v>1149</v>
      </c>
      <c r="D280" s="2462"/>
      <c r="E280" s="2204"/>
      <c r="F280" s="2383"/>
      <c r="G280" s="2427"/>
      <c r="H280" s="1500"/>
      <c r="I280" s="651" t="s">
        <v>1148</v>
      </c>
      <c r="J280" s="571"/>
      <c r="K280" s="1500"/>
      <c r="L280" s="214"/>
      <c r="M280" s="341"/>
      <c r="N280" s="334"/>
      <c r="O280" s="1624"/>
      <c r="P280" s="1624"/>
      <c r="AH280" s="1631">
        <v>0</v>
      </c>
    </row>
    <row r="281" s="1635" customFormat="1" ht="0.75" hidden="1" customHeight="1">
      <c r="A281" s="1780"/>
      <c r="B281" s="1780"/>
      <c r="C281" s="369" t="s">
        <v>1156</v>
      </c>
      <c r="D281" s="2462"/>
      <c r="E281" s="2204"/>
      <c r="F281" s="2383"/>
      <c r="G281" s="400"/>
      <c r="H281" s="1500"/>
      <c r="I281" s="651"/>
      <c r="J281" s="571"/>
      <c r="K281" s="1500"/>
      <c r="L281" s="214"/>
      <c r="M281" s="341"/>
      <c r="N281" s="334"/>
      <c r="O281" s="1624"/>
      <c r="P281" s="1624"/>
      <c r="AH281" s="1631">
        <v>0</v>
      </c>
    </row>
    <row r="282" s="1635" customFormat="1" ht="18.75" hidden="1" customHeight="1">
      <c r="A282" s="1780" t="s">
        <v>183</v>
      </c>
      <c r="B282" s="1780" t="s">
        <v>184</v>
      </c>
      <c r="C282" s="369"/>
      <c r="D282" s="2462"/>
      <c r="E282" s="2204"/>
      <c r="F282" s="2383" t="str">
        <f>INDEX(PT_DIFFERENTIATION_VTAR,MATCH(A282,PT_DIFFERENTIATION_VTAR_ID,0))</f>
        <v xml:space="preserve">Тарифы на услуги по передаче тепловой энергии</v>
      </c>
      <c r="G282" s="2427" t="str">
        <f>INDEX(PT_DIFFERENTIATION_NTAR,MATCH(B282,PT_DIFFERENTIATION_NTAR_ID,0))</f>
        <v/>
      </c>
      <c r="H282" s="1862"/>
      <c r="I282" s="1739"/>
      <c r="J282" s="1773"/>
      <c r="K282" s="1778"/>
      <c r="L282" s="1862" t="s">
        <v>308</v>
      </c>
      <c r="M282" s="341"/>
      <c r="N282" s="334"/>
      <c r="O282" s="1624"/>
      <c r="P282" s="1624"/>
      <c r="AH282" s="1631">
        <v>0</v>
      </c>
    </row>
    <row r="283" s="1635" customFormat="1" ht="18.75" hidden="1" customHeight="1">
      <c r="A283" s="1780"/>
      <c r="B283" s="1780"/>
      <c r="C283" s="369" t="s">
        <v>1149</v>
      </c>
      <c r="D283" s="2462"/>
      <c r="E283" s="2204"/>
      <c r="F283" s="2383"/>
      <c r="G283" s="2427"/>
      <c r="H283" s="1500"/>
      <c r="I283" s="651" t="s">
        <v>1148</v>
      </c>
      <c r="J283" s="571"/>
      <c r="K283" s="1500"/>
      <c r="L283" s="214"/>
      <c r="M283" s="341"/>
      <c r="N283" s="334"/>
      <c r="O283" s="1624"/>
      <c r="P283" s="1624"/>
      <c r="AH283" s="1631">
        <v>0</v>
      </c>
    </row>
    <row r="284" s="1635" customFormat="1" ht="0.75" hidden="1" customHeight="1">
      <c r="A284" s="1780"/>
      <c r="B284" s="1780"/>
      <c r="C284" s="369" t="s">
        <v>1156</v>
      </c>
      <c r="D284" s="2462"/>
      <c r="E284" s="2204"/>
      <c r="F284" s="2383"/>
      <c r="G284" s="400"/>
      <c r="H284" s="1500"/>
      <c r="I284" s="651"/>
      <c r="J284" s="571"/>
      <c r="K284" s="1500"/>
      <c r="L284" s="214"/>
      <c r="M284" s="341"/>
      <c r="N284" s="334"/>
      <c r="O284" s="1624"/>
      <c r="P284" s="1624"/>
      <c r="AH284" s="1631">
        <v>0</v>
      </c>
    </row>
    <row r="285" s="1635" customFormat="1" ht="18.75" hidden="1" customHeight="1">
      <c r="A285" s="1780" t="s">
        <v>189</v>
      </c>
      <c r="B285" s="1780" t="s">
        <v>190</v>
      </c>
      <c r="C285" s="369"/>
      <c r="D285" s="2462"/>
      <c r="E285" s="2204"/>
      <c r="F285" s="2383" t="str">
        <f>INDEX(PT_DIFFERENTIATION_VTAR,MATCH(A285,PT_DIFFERENTIATION_VTAR_ID,0))</f>
        <v xml:space="preserve">Тарифы на услуги по передаче теплоносителя</v>
      </c>
      <c r="G285" s="2427" t="str">
        <f>INDEX(PT_DIFFERENTIATION_NTAR,MATCH(B285,PT_DIFFERENTIATION_NTAR_ID,0))</f>
        <v/>
      </c>
      <c r="H285" s="1862"/>
      <c r="I285" s="1739"/>
      <c r="J285" s="1773"/>
      <c r="K285" s="1778"/>
      <c r="L285" s="1862" t="s">
        <v>308</v>
      </c>
      <c r="M285" s="341"/>
      <c r="N285" s="334"/>
      <c r="O285" s="1624"/>
      <c r="P285" s="1624"/>
      <c r="AH285" s="1631">
        <v>0</v>
      </c>
    </row>
    <row r="286" s="1635" customFormat="1" ht="18.75" hidden="1" customHeight="1">
      <c r="A286" s="1780"/>
      <c r="B286" s="1780"/>
      <c r="C286" s="369" t="s">
        <v>1149</v>
      </c>
      <c r="D286" s="2462"/>
      <c r="E286" s="2204"/>
      <c r="F286" s="2383"/>
      <c r="G286" s="2427"/>
      <c r="H286" s="1500"/>
      <c r="I286" s="651" t="s">
        <v>1148</v>
      </c>
      <c r="J286" s="571"/>
      <c r="K286" s="1500"/>
      <c r="L286" s="214"/>
      <c r="M286" s="341"/>
      <c r="N286" s="334"/>
      <c r="O286" s="1624"/>
      <c r="P286" s="1624"/>
      <c r="AH286" s="1631">
        <v>0</v>
      </c>
    </row>
    <row r="287" s="1635" customFormat="1" ht="0.75" hidden="1" customHeight="1">
      <c r="A287" s="1780"/>
      <c r="B287" s="1780"/>
      <c r="C287" s="369" t="s">
        <v>1156</v>
      </c>
      <c r="D287" s="2462"/>
      <c r="E287" s="2204"/>
      <c r="F287" s="2383"/>
      <c r="G287" s="400"/>
      <c r="H287" s="1500"/>
      <c r="I287" s="651"/>
      <c r="J287" s="571"/>
      <c r="K287" s="1500"/>
      <c r="L287" s="214"/>
      <c r="M287" s="341"/>
      <c r="N287" s="334"/>
      <c r="O287" s="1624"/>
      <c r="P287" s="1624"/>
      <c r="AH287" s="1631">
        <v>0</v>
      </c>
    </row>
    <row r="288" s="1635" customFormat="1" ht="18.75" hidden="1" customHeight="1">
      <c r="A288" s="1780" t="s">
        <v>195</v>
      </c>
      <c r="B288" s="1780" t="s">
        <v>196</v>
      </c>
      <c r="C288" s="369"/>
      <c r="D288" s="2462"/>
      <c r="E288" s="2204"/>
      <c r="F288" s="2383" t="str">
        <f>INDEX(PT_DIFFERENTIATION_VTAR,MATCH(A288,PT_DIFFERENTIATION_VTAR_ID,0))</f>
        <v xml:space="preserve">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308</v>
      </c>
      <c r="M288" s="341"/>
      <c r="N288" s="334"/>
      <c r="O288" s="1624"/>
      <c r="P288" s="1624"/>
      <c r="AH288" s="1631">
        <v>0</v>
      </c>
    </row>
    <row r="289" s="1635" customFormat="1" ht="18.75" hidden="1" customHeight="1">
      <c r="A289" s="1780"/>
      <c r="B289" s="1780"/>
      <c r="C289" s="369" t="s">
        <v>1149</v>
      </c>
      <c r="D289" s="2462"/>
      <c r="E289" s="2204"/>
      <c r="F289" s="2383"/>
      <c r="G289" s="2427"/>
      <c r="H289" s="1500"/>
      <c r="I289" s="651" t="s">
        <v>1148</v>
      </c>
      <c r="J289" s="571"/>
      <c r="K289" s="1500"/>
      <c r="L289" s="214"/>
      <c r="M289" s="341"/>
      <c r="N289" s="334"/>
      <c r="O289" s="1624"/>
      <c r="P289" s="1624"/>
      <c r="AH289" s="1631">
        <v>0</v>
      </c>
    </row>
    <row r="290" s="1635" customFormat="1" ht="0.75" hidden="1" customHeight="1">
      <c r="A290" s="1780"/>
      <c r="B290" s="1780"/>
      <c r="C290" s="369" t="s">
        <v>1156</v>
      </c>
      <c r="D290" s="2462"/>
      <c r="E290" s="2204"/>
      <c r="F290" s="2383"/>
      <c r="G290" s="400"/>
      <c r="H290" s="1500"/>
      <c r="I290" s="651"/>
      <c r="J290" s="571"/>
      <c r="K290" s="1500"/>
      <c r="L290" s="214"/>
      <c r="M290" s="341"/>
      <c r="N290" s="334"/>
      <c r="O290" s="1624"/>
      <c r="P290" s="1624"/>
      <c r="AH290" s="1631">
        <v>0</v>
      </c>
    </row>
    <row r="291" s="1635" customFormat="1" ht="18.75" hidden="1" customHeight="1">
      <c r="A291" s="1780" t="s">
        <v>201</v>
      </c>
      <c r="B291" s="1780" t="s">
        <v>202</v>
      </c>
      <c r="C291" s="369"/>
      <c r="D291" s="2462"/>
      <c r="E291" s="2204"/>
      <c r="F291" s="2383" t="str">
        <f>INDEX(PT_DIFFERENTIATION_VTAR,MATCH(A291,PT_DIFFERENTIATION_VTAR_ID,0))</f>
        <v xml:space="preserve">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308</v>
      </c>
      <c r="M291" s="341"/>
      <c r="N291" s="334"/>
      <c r="O291" s="1624"/>
      <c r="P291" s="1624"/>
      <c r="AH291" s="1631">
        <v>0</v>
      </c>
    </row>
    <row r="292" s="1635" customFormat="1" ht="18.75" hidden="1" customHeight="1">
      <c r="A292" s="1780"/>
      <c r="B292" s="1780"/>
      <c r="C292" s="369" t="s">
        <v>1149</v>
      </c>
      <c r="D292" s="2462"/>
      <c r="E292" s="2204"/>
      <c r="F292" s="2383"/>
      <c r="G292" s="2427"/>
      <c r="H292" s="1500"/>
      <c r="I292" s="651" t="s">
        <v>1148</v>
      </c>
      <c r="J292" s="571"/>
      <c r="K292" s="1500"/>
      <c r="L292" s="214"/>
      <c r="M292" s="341"/>
      <c r="N292" s="334"/>
      <c r="O292" s="1624"/>
      <c r="P292" s="1624"/>
      <c r="AH292" s="1631">
        <v>0</v>
      </c>
    </row>
    <row r="293" s="1635" customFormat="1" ht="0.75" hidden="1" customHeight="1">
      <c r="A293" s="1780"/>
      <c r="B293" s="1780"/>
      <c r="C293" s="369" t="s">
        <v>1156</v>
      </c>
      <c r="D293" s="2462"/>
      <c r="E293" s="2204"/>
      <c r="F293" s="2383"/>
      <c r="G293" s="400"/>
      <c r="H293" s="1500"/>
      <c r="I293" s="651"/>
      <c r="J293" s="571"/>
      <c r="K293" s="1500"/>
      <c r="L293" s="214"/>
      <c r="M293" s="341"/>
      <c r="N293" s="334"/>
      <c r="O293" s="1624"/>
      <c r="P293" s="1624"/>
      <c r="AH293" s="1631">
        <v>0</v>
      </c>
    </row>
    <row r="294" s="1635" customFormat="1" ht="18.75" hidden="1" customHeight="1">
      <c r="A294" s="1780" t="s">
        <v>207</v>
      </c>
      <c r="B294" s="1780" t="s">
        <v>208</v>
      </c>
      <c r="C294" s="369"/>
      <c r="D294" s="2462"/>
      <c r="E294" s="2204"/>
      <c r="F294" s="2383" t="str">
        <f>INDEX(PT_DIFFERENTIATION_VTAR,MATCH(A294,PT_DIFFERENTIATION_VTAR_ID,0))</f>
        <v xml:space="preserve">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308</v>
      </c>
      <c r="M294" s="341"/>
      <c r="N294" s="334"/>
      <c r="O294" s="1624"/>
      <c r="P294" s="1624"/>
      <c r="AH294" s="1631">
        <v>0</v>
      </c>
    </row>
    <row r="295" s="1635" customFormat="1" ht="18.75" hidden="1" customHeight="1">
      <c r="A295" s="1780"/>
      <c r="B295" s="1780"/>
      <c r="C295" s="369" t="s">
        <v>1149</v>
      </c>
      <c r="D295" s="2462"/>
      <c r="E295" s="2204"/>
      <c r="F295" s="2383"/>
      <c r="G295" s="2427"/>
      <c r="H295" s="1500"/>
      <c r="I295" s="651" t="s">
        <v>1148</v>
      </c>
      <c r="J295" s="571"/>
      <c r="K295" s="1500"/>
      <c r="L295" s="214"/>
      <c r="M295" s="341"/>
      <c r="N295" s="334"/>
      <c r="O295" s="1624"/>
      <c r="P295" s="1624"/>
      <c r="AH295" s="1631">
        <v>0</v>
      </c>
    </row>
    <row r="296" s="1635" customFormat="1" ht="0.75" hidden="1" customHeight="1">
      <c r="A296" s="1780"/>
      <c r="B296" s="1780"/>
      <c r="C296" s="369" t="s">
        <v>1156</v>
      </c>
      <c r="D296" s="2462"/>
      <c r="E296" s="2204"/>
      <c r="F296" s="2383"/>
      <c r="G296" s="400"/>
      <c r="H296" s="1500"/>
      <c r="I296" s="651"/>
      <c r="J296" s="571"/>
      <c r="K296" s="1500"/>
      <c r="L296" s="214"/>
      <c r="M296" s="341"/>
      <c r="N296" s="334"/>
      <c r="O296" s="1624"/>
      <c r="P296" s="1624"/>
      <c r="AH296" s="1631">
        <v>0</v>
      </c>
    </row>
    <row r="297" s="1635" customFormat="1" ht="18.75" hidden="1" customHeight="1">
      <c r="A297" s="1780" t="s">
        <v>227</v>
      </c>
      <c r="B297" s="1780" t="s">
        <v>228</v>
      </c>
      <c r="C297" s="369"/>
      <c r="D297" s="2462"/>
      <c r="E297" s="2204"/>
      <c r="F297" s="2383" t="str">
        <f>INDEX(PT_DIFFERENTIATION_VTAR,MATCH(A297,PT_DIFFERENTIATION_VTAR_ID,0))</f>
        <v xml:space="preserve">Тариф на питьевую воду (питьевое водоснабжение)</v>
      </c>
      <c r="G297" s="2427" t="str">
        <f>INDEX(PT_DIFFERENTIATION_NTAR,MATCH(B297,PT_DIFFERENTIATION_NTAR_ID,0))</f>
        <v/>
      </c>
      <c r="H297" s="1862"/>
      <c r="I297" s="1739"/>
      <c r="J297" s="1773"/>
      <c r="K297" s="1778"/>
      <c r="L297" s="1862" t="s">
        <v>308</v>
      </c>
      <c r="M297" s="341"/>
      <c r="N297" s="334"/>
      <c r="O297" s="1624"/>
      <c r="P297" s="1624"/>
      <c r="AH297" s="1631">
        <v>0</v>
      </c>
    </row>
    <row r="298" s="1635" customFormat="1" ht="18.75" hidden="1" customHeight="1">
      <c r="A298" s="1780"/>
      <c r="B298" s="1780"/>
      <c r="C298" s="369" t="s">
        <v>1149</v>
      </c>
      <c r="D298" s="2462"/>
      <c r="E298" s="2204"/>
      <c r="F298" s="2383"/>
      <c r="G298" s="2427"/>
      <c r="H298" s="1500"/>
      <c r="I298" s="651" t="s">
        <v>1148</v>
      </c>
      <c r="J298" s="571"/>
      <c r="K298" s="1500"/>
      <c r="L298" s="214"/>
      <c r="M298" s="341"/>
      <c r="N298" s="334"/>
      <c r="O298" s="1624"/>
      <c r="P298" s="1624"/>
      <c r="AH298" s="1631">
        <v>0</v>
      </c>
    </row>
    <row r="299" s="1635" customFormat="1" ht="0.75" hidden="1" customHeight="1">
      <c r="A299" s="1780"/>
      <c r="B299" s="1780"/>
      <c r="C299" s="369" t="s">
        <v>1156</v>
      </c>
      <c r="D299" s="2462"/>
      <c r="E299" s="2204"/>
      <c r="F299" s="2383"/>
      <c r="G299" s="400"/>
      <c r="H299" s="1500"/>
      <c r="I299" s="651"/>
      <c r="J299" s="571"/>
      <c r="K299" s="1500"/>
      <c r="L299" s="214"/>
      <c r="M299" s="341"/>
      <c r="N299" s="334"/>
      <c r="O299" s="1624"/>
      <c r="P299" s="1624"/>
      <c r="AH299" s="1631">
        <v>0</v>
      </c>
    </row>
    <row r="300" s="1635" customFormat="1" ht="18.75" hidden="1" customHeight="1">
      <c r="A300" s="1780" t="s">
        <v>232</v>
      </c>
      <c r="B300" s="1780" t="s">
        <v>233</v>
      </c>
      <c r="C300" s="369"/>
      <c r="D300" s="2462"/>
      <c r="E300" s="2204"/>
      <c r="F300" s="2383" t="str">
        <f>INDEX(PT_DIFFERENTIATION_VTAR,MATCH(A300,PT_DIFFERENTIATION_VTAR_ID,0))</f>
        <v xml:space="preserve">Тариф на техническую воду</v>
      </c>
      <c r="G300" s="2427" t="str">
        <f>INDEX(PT_DIFFERENTIATION_NTAR,MATCH(B300,PT_DIFFERENTIATION_NTAR_ID,0))</f>
        <v/>
      </c>
      <c r="H300" s="1862"/>
      <c r="I300" s="1739"/>
      <c r="J300" s="1773"/>
      <c r="K300" s="1778"/>
      <c r="L300" s="1862" t="s">
        <v>308</v>
      </c>
      <c r="M300" s="341"/>
      <c r="N300" s="334"/>
      <c r="O300" s="1624"/>
      <c r="P300" s="1624"/>
      <c r="AH300" s="1631">
        <v>0</v>
      </c>
    </row>
    <row r="301" s="1635" customFormat="1" ht="18.75" hidden="1" customHeight="1">
      <c r="A301" s="1780"/>
      <c r="B301" s="1780"/>
      <c r="C301" s="369" t="s">
        <v>1149</v>
      </c>
      <c r="D301" s="2462"/>
      <c r="E301" s="2204"/>
      <c r="F301" s="2383"/>
      <c r="G301" s="2427"/>
      <c r="H301" s="1500"/>
      <c r="I301" s="651" t="s">
        <v>1148</v>
      </c>
      <c r="J301" s="571"/>
      <c r="K301" s="1500"/>
      <c r="L301" s="214"/>
      <c r="M301" s="341"/>
      <c r="N301" s="334"/>
      <c r="O301" s="1624"/>
      <c r="P301" s="1624"/>
      <c r="AH301" s="1631">
        <v>0</v>
      </c>
    </row>
    <row r="302" s="1635" customFormat="1" ht="0.75" hidden="1" customHeight="1">
      <c r="A302" s="1780"/>
      <c r="B302" s="1780"/>
      <c r="C302" s="369" t="s">
        <v>1156</v>
      </c>
      <c r="D302" s="2462"/>
      <c r="E302" s="2204"/>
      <c r="F302" s="2383"/>
      <c r="G302" s="400"/>
      <c r="H302" s="1500"/>
      <c r="I302" s="651"/>
      <c r="J302" s="571"/>
      <c r="K302" s="1500"/>
      <c r="L302" s="214"/>
      <c r="M302" s="341"/>
      <c r="N302" s="334"/>
      <c r="O302" s="1624"/>
      <c r="P302" s="1624"/>
      <c r="AH302" s="1631">
        <v>0</v>
      </c>
    </row>
    <row r="303" s="1635" customFormat="1" ht="18.75" hidden="1" customHeight="1">
      <c r="A303" s="1780" t="s">
        <v>237</v>
      </c>
      <c r="B303" s="1780" t="s">
        <v>238</v>
      </c>
      <c r="C303" s="369"/>
      <c r="D303" s="2462"/>
      <c r="E303" s="2204"/>
      <c r="F303" s="2383" t="str">
        <f>INDEX(PT_DIFFERENTIATION_VTAR,MATCH(A303,PT_DIFFERENTIATION_VTAR_ID,0))</f>
        <v xml:space="preserve">Тариф на транспортировку воды</v>
      </c>
      <c r="G303" s="2427" t="str">
        <f>INDEX(PT_DIFFERENTIATION_NTAR,MATCH(B303,PT_DIFFERENTIATION_NTAR_ID,0))</f>
        <v/>
      </c>
      <c r="H303" s="1862"/>
      <c r="I303" s="1739"/>
      <c r="J303" s="1773"/>
      <c r="K303" s="1778"/>
      <c r="L303" s="1862" t="s">
        <v>308</v>
      </c>
      <c r="M303" s="341"/>
      <c r="N303" s="334"/>
      <c r="O303" s="1624"/>
      <c r="P303" s="1624"/>
      <c r="AH303" s="1631">
        <v>0</v>
      </c>
    </row>
    <row r="304" s="1635" customFormat="1" ht="18.75" hidden="1" customHeight="1">
      <c r="A304" s="1780"/>
      <c r="B304" s="1780"/>
      <c r="C304" s="369" t="s">
        <v>1149</v>
      </c>
      <c r="D304" s="2462"/>
      <c r="E304" s="2204"/>
      <c r="F304" s="2383"/>
      <c r="G304" s="2427"/>
      <c r="H304" s="1500"/>
      <c r="I304" s="651" t="s">
        <v>1148</v>
      </c>
      <c r="J304" s="571"/>
      <c r="K304" s="1500"/>
      <c r="L304" s="214"/>
      <c r="M304" s="341"/>
      <c r="N304" s="334"/>
      <c r="O304" s="1624"/>
      <c r="P304" s="1624"/>
      <c r="AH304" s="1631">
        <v>0</v>
      </c>
    </row>
    <row r="305" s="1635" customFormat="1" ht="0.75" hidden="1" customHeight="1">
      <c r="A305" s="1780"/>
      <c r="B305" s="1780"/>
      <c r="C305" s="369" t="s">
        <v>1156</v>
      </c>
      <c r="D305" s="2462"/>
      <c r="E305" s="2204"/>
      <c r="F305" s="2383"/>
      <c r="G305" s="400"/>
      <c r="H305" s="1500"/>
      <c r="I305" s="651"/>
      <c r="J305" s="571"/>
      <c r="K305" s="1500"/>
      <c r="L305" s="214"/>
      <c r="M305" s="341"/>
      <c r="N305" s="334"/>
      <c r="O305" s="1624"/>
      <c r="P305" s="1624"/>
      <c r="AH305" s="1631">
        <v>0</v>
      </c>
    </row>
    <row r="306" s="1635" customFormat="1" ht="18.75" hidden="1" customHeight="1">
      <c r="A306" s="1780" t="s">
        <v>242</v>
      </c>
      <c r="B306" s="1780" t="s">
        <v>243</v>
      </c>
      <c r="C306" s="369"/>
      <c r="D306" s="2462"/>
      <c r="E306" s="2204"/>
      <c r="F306" s="2383" t="str">
        <f>INDEX(PT_DIFFERENTIATION_VTAR,MATCH(A306,PT_DIFFERENTIATION_VTAR_ID,0))</f>
        <v xml:space="preserve">Тариф на подвоз воды</v>
      </c>
      <c r="G306" s="2427" t="str">
        <f>INDEX(PT_DIFFERENTIATION_NTAR,MATCH(B306,PT_DIFFERENTIATION_NTAR_ID,0))</f>
        <v/>
      </c>
      <c r="H306" s="1862"/>
      <c r="I306" s="1739"/>
      <c r="J306" s="1773"/>
      <c r="K306" s="1778"/>
      <c r="L306" s="1862" t="s">
        <v>308</v>
      </c>
      <c r="M306" s="341"/>
      <c r="N306" s="334"/>
      <c r="O306" s="1624"/>
      <c r="P306" s="1624"/>
      <c r="AH306" s="1631">
        <v>0</v>
      </c>
    </row>
    <row r="307" s="1635" customFormat="1" ht="18.75" hidden="1" customHeight="1">
      <c r="A307" s="1780"/>
      <c r="B307" s="1780"/>
      <c r="C307" s="369" t="s">
        <v>1149</v>
      </c>
      <c r="D307" s="2462"/>
      <c r="E307" s="2204"/>
      <c r="F307" s="2383"/>
      <c r="G307" s="2427"/>
      <c r="H307" s="1500"/>
      <c r="I307" s="651" t="s">
        <v>1148</v>
      </c>
      <c r="J307" s="571"/>
      <c r="K307" s="1500"/>
      <c r="L307" s="214"/>
      <c r="M307" s="341"/>
      <c r="N307" s="334"/>
      <c r="O307" s="1624"/>
      <c r="P307" s="1624"/>
      <c r="AH307" s="1631">
        <v>0</v>
      </c>
    </row>
    <row r="308" s="1635" customFormat="1" ht="0.75" hidden="1" customHeight="1">
      <c r="A308" s="1780"/>
      <c r="B308" s="1780"/>
      <c r="C308" s="369" t="s">
        <v>1156</v>
      </c>
      <c r="D308" s="2462"/>
      <c r="E308" s="2204"/>
      <c r="F308" s="2383"/>
      <c r="G308" s="400"/>
      <c r="H308" s="1500"/>
      <c r="I308" s="651"/>
      <c r="J308" s="571"/>
      <c r="K308" s="1500"/>
      <c r="L308" s="214"/>
      <c r="M308" s="341"/>
      <c r="N308" s="334"/>
      <c r="O308" s="1624"/>
      <c r="P308" s="1624"/>
      <c r="AH308" s="1631">
        <v>0</v>
      </c>
    </row>
    <row r="309" s="1635" customFormat="1" ht="18.75" hidden="1" customHeight="1">
      <c r="A309" s="1780" t="s">
        <v>247</v>
      </c>
      <c r="B309" s="1780" t="s">
        <v>248</v>
      </c>
      <c r="C309" s="369"/>
      <c r="D309" s="2462"/>
      <c r="E309" s="2204"/>
      <c r="F309" s="2383" t="str">
        <f>INDEX(PT_DIFFERENTIATION_VTAR,MATCH(A309,PT_DIFFERENTIATION_VTAR_ID,0))</f>
        <v xml:space="preserve">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308</v>
      </c>
      <c r="M309" s="341"/>
      <c r="N309" s="334"/>
      <c r="O309" s="1624"/>
      <c r="P309" s="1624"/>
      <c r="AH309" s="1631">
        <v>0</v>
      </c>
    </row>
    <row r="310" s="1635" customFormat="1" ht="18.75" hidden="1" customHeight="1">
      <c r="A310" s="1780"/>
      <c r="B310" s="1780"/>
      <c r="C310" s="369" t="s">
        <v>1149</v>
      </c>
      <c r="D310" s="2462"/>
      <c r="E310" s="2204"/>
      <c r="F310" s="2383"/>
      <c r="G310" s="2427"/>
      <c r="H310" s="1500"/>
      <c r="I310" s="651" t="s">
        <v>1148</v>
      </c>
      <c r="J310" s="571"/>
      <c r="K310" s="1500"/>
      <c r="L310" s="214"/>
      <c r="M310" s="341"/>
      <c r="N310" s="334"/>
      <c r="O310" s="1624"/>
      <c r="P310" s="1624"/>
      <c r="AH310" s="1631">
        <v>0</v>
      </c>
    </row>
    <row r="311" s="1635" customFormat="1" ht="0.75" hidden="1" customHeight="1">
      <c r="A311" s="1780"/>
      <c r="B311" s="1780"/>
      <c r="C311" s="369" t="s">
        <v>1156</v>
      </c>
      <c r="D311" s="2462"/>
      <c r="E311" s="2204"/>
      <c r="F311" s="2383"/>
      <c r="G311" s="400"/>
      <c r="H311" s="1500"/>
      <c r="I311" s="651"/>
      <c r="J311" s="571"/>
      <c r="K311" s="1500"/>
      <c r="L311" s="214"/>
      <c r="M311" s="341"/>
      <c r="N311" s="334"/>
      <c r="O311" s="1624"/>
      <c r="P311" s="1624"/>
      <c r="AH311" s="1631">
        <v>0</v>
      </c>
    </row>
    <row r="312" s="1635" customFormat="1" ht="18.75" hidden="1" customHeight="1">
      <c r="A312" s="1780" t="s">
        <v>252</v>
      </c>
      <c r="B312" s="1780" t="s">
        <v>253</v>
      </c>
      <c r="C312" s="369"/>
      <c r="D312" s="2462"/>
      <c r="E312" s="2204"/>
      <c r="F312" s="2383" t="str">
        <f>INDEX(PT_DIFFERENTIATION_VTAR,MATCH(A312,PT_DIFFERENTIATION_VTAR_ID,0))</f>
        <v xml:space="preserve">Тариф на горячую воду (горячее водоснабжение)</v>
      </c>
      <c r="G312" s="2427" t="str">
        <f>INDEX(PT_DIFFERENTIATION_NTAR,MATCH(B312,PT_DIFFERENTIATION_NTAR_ID,0))</f>
        <v/>
      </c>
      <c r="H312" s="1862"/>
      <c r="I312" s="1739"/>
      <c r="J312" s="1773"/>
      <c r="K312" s="1778"/>
      <c r="L312" s="1862" t="s">
        <v>308</v>
      </c>
      <c r="M312" s="341"/>
      <c r="N312" s="334"/>
      <c r="O312" s="1624"/>
      <c r="P312" s="1624"/>
      <c r="AH312" s="1631">
        <v>0</v>
      </c>
    </row>
    <row r="313" s="1635" customFormat="1" ht="18.75" hidden="1" customHeight="1">
      <c r="A313" s="1780"/>
      <c r="B313" s="1780"/>
      <c r="C313" s="369" t="s">
        <v>1149</v>
      </c>
      <c r="D313" s="2462"/>
      <c r="E313" s="2204"/>
      <c r="F313" s="2383"/>
      <c r="G313" s="2427"/>
      <c r="H313" s="1500"/>
      <c r="I313" s="651" t="s">
        <v>1148</v>
      </c>
      <c r="J313" s="571"/>
      <c r="K313" s="1500"/>
      <c r="L313" s="214"/>
      <c r="M313" s="341"/>
      <c r="N313" s="334"/>
      <c r="O313" s="1624"/>
      <c r="P313" s="1624"/>
      <c r="AH313" s="1631">
        <v>0</v>
      </c>
    </row>
    <row r="314" s="1635" customFormat="1" ht="0.75" hidden="1" customHeight="1">
      <c r="A314" s="1780"/>
      <c r="B314" s="1780"/>
      <c r="C314" s="369" t="s">
        <v>1156</v>
      </c>
      <c r="D314" s="2462"/>
      <c r="E314" s="2204"/>
      <c r="F314" s="2383"/>
      <c r="G314" s="400"/>
      <c r="H314" s="1500"/>
      <c r="I314" s="651"/>
      <c r="J314" s="571"/>
      <c r="K314" s="1500"/>
      <c r="L314" s="214"/>
      <c r="M314" s="341"/>
      <c r="N314" s="334"/>
      <c r="O314" s="1624"/>
      <c r="P314" s="1624"/>
      <c r="AH314" s="1631">
        <v>0</v>
      </c>
    </row>
    <row r="315" s="1635" customFormat="1" ht="18.75" hidden="1" customHeight="1">
      <c r="A315" s="1780" t="s">
        <v>257</v>
      </c>
      <c r="B315" s="1780" t="s">
        <v>258</v>
      </c>
      <c r="C315" s="369"/>
      <c r="D315" s="2462"/>
      <c r="E315" s="2204"/>
      <c r="F315" s="2383" t="str">
        <f>INDEX(PT_DIFFERENTIATION_VTAR,MATCH(A315,PT_DIFFERENTIATION_VTAR_ID,0))</f>
        <v xml:space="preserve">Тариф на транспортировку горячей воды</v>
      </c>
      <c r="G315" s="2427" t="str">
        <f>INDEX(PT_DIFFERENTIATION_NTAR,MATCH(B315,PT_DIFFERENTIATION_NTAR_ID,0))</f>
        <v/>
      </c>
      <c r="H315" s="1862"/>
      <c r="I315" s="1739"/>
      <c r="J315" s="1773"/>
      <c r="K315" s="1778"/>
      <c r="L315" s="1862" t="s">
        <v>308</v>
      </c>
      <c r="M315" s="341"/>
      <c r="N315" s="334"/>
      <c r="O315" s="1624"/>
      <c r="P315" s="1624"/>
      <c r="AH315" s="1631">
        <v>0</v>
      </c>
    </row>
    <row r="316" s="1635" customFormat="1" ht="18.75" hidden="1" customHeight="1">
      <c r="A316" s="1780"/>
      <c r="B316" s="1780"/>
      <c r="C316" s="369" t="s">
        <v>1149</v>
      </c>
      <c r="D316" s="2462"/>
      <c r="E316" s="2204"/>
      <c r="F316" s="2383"/>
      <c r="G316" s="2427"/>
      <c r="H316" s="1500"/>
      <c r="I316" s="651" t="s">
        <v>1148</v>
      </c>
      <c r="J316" s="571"/>
      <c r="K316" s="1500"/>
      <c r="L316" s="214"/>
      <c r="M316" s="341"/>
      <c r="N316" s="334"/>
      <c r="O316" s="1624"/>
      <c r="P316" s="1624"/>
      <c r="AH316" s="1631">
        <v>0</v>
      </c>
    </row>
    <row r="317" s="1635" customFormat="1" ht="0.75" hidden="1" customHeight="1">
      <c r="A317" s="1780"/>
      <c r="B317" s="1780"/>
      <c r="C317" s="369" t="s">
        <v>1156</v>
      </c>
      <c r="D317" s="2462"/>
      <c r="E317" s="2204"/>
      <c r="F317" s="2383"/>
      <c r="G317" s="400"/>
      <c r="H317" s="1500"/>
      <c r="I317" s="651"/>
      <c r="J317" s="571"/>
      <c r="K317" s="1500"/>
      <c r="L317" s="214"/>
      <c r="M317" s="341"/>
      <c r="N317" s="334"/>
      <c r="O317" s="1624"/>
      <c r="P317" s="1624"/>
      <c r="AH317" s="1631">
        <v>0</v>
      </c>
    </row>
    <row r="318" s="1635" customFormat="1" ht="18.75" hidden="1" customHeight="1">
      <c r="A318" s="1780" t="s">
        <v>262</v>
      </c>
      <c r="B318" s="1780" t="s">
        <v>263</v>
      </c>
      <c r="C318" s="369"/>
      <c r="D318" s="2462"/>
      <c r="E318" s="2204"/>
      <c r="F318" s="2383" t="str">
        <f>INDEX(PT_DIFFERENTIATION_VTAR,MATCH(A318,PT_DIFFERENTIATION_VTAR_ID,0))</f>
        <v xml:space="preserve">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308</v>
      </c>
      <c r="M318" s="341"/>
      <c r="N318" s="334"/>
      <c r="O318" s="1624"/>
      <c r="P318" s="1624"/>
      <c r="AH318" s="1631">
        <v>0</v>
      </c>
    </row>
    <row r="319" s="1635" customFormat="1" ht="18.75" hidden="1" customHeight="1">
      <c r="A319" s="1780"/>
      <c r="B319" s="1780"/>
      <c r="C319" s="369" t="s">
        <v>1149</v>
      </c>
      <c r="D319" s="2462"/>
      <c r="E319" s="2204"/>
      <c r="F319" s="2383"/>
      <c r="G319" s="2427"/>
      <c r="H319" s="1500"/>
      <c r="I319" s="651" t="s">
        <v>1148</v>
      </c>
      <c r="J319" s="571"/>
      <c r="K319" s="1500"/>
      <c r="L319" s="214"/>
      <c r="M319" s="341"/>
      <c r="N319" s="334"/>
      <c r="O319" s="1624"/>
      <c r="P319" s="1624"/>
      <c r="AH319" s="1631">
        <v>0</v>
      </c>
    </row>
    <row r="320" s="1635" customFormat="1" ht="0.75" hidden="1" customHeight="1">
      <c r="A320" s="1780"/>
      <c r="B320" s="1780"/>
      <c r="C320" s="369" t="s">
        <v>1156</v>
      </c>
      <c r="D320" s="2462"/>
      <c r="E320" s="2204"/>
      <c r="F320" s="2383"/>
      <c r="G320" s="400"/>
      <c r="H320" s="1500"/>
      <c r="I320" s="651"/>
      <c r="J320" s="571"/>
      <c r="K320" s="1500"/>
      <c r="L320" s="214"/>
      <c r="M320" s="341"/>
      <c r="N320" s="334"/>
      <c r="O320" s="1624"/>
      <c r="P320" s="1624"/>
      <c r="AH320" s="1631">
        <v>0</v>
      </c>
    </row>
    <row r="321" s="1635" customFormat="1" ht="18.75" hidden="1" customHeight="1">
      <c r="A321" s="1780" t="s">
        <v>267</v>
      </c>
      <c r="B321" s="1780" t="s">
        <v>268</v>
      </c>
      <c r="C321" s="369"/>
      <c r="D321" s="2462"/>
      <c r="E321" s="2204"/>
      <c r="F321" s="2383" t="str">
        <f>INDEX(PT_DIFFERENTIATION_VTAR,MATCH(A321,PT_DIFFERENTIATION_VTAR_ID,0))</f>
        <v xml:space="preserve">Тариф на водоотведение</v>
      </c>
      <c r="G321" s="2427" t="str">
        <f>INDEX(PT_DIFFERENTIATION_NTAR,MATCH(B321,PT_DIFFERENTIATION_NTAR_ID,0))</f>
        <v/>
      </c>
      <c r="H321" s="1862"/>
      <c r="I321" s="1739"/>
      <c r="J321" s="1773"/>
      <c r="K321" s="1778"/>
      <c r="L321" s="1862" t="s">
        <v>308</v>
      </c>
      <c r="M321" s="341"/>
      <c r="N321" s="334"/>
      <c r="O321" s="1624"/>
      <c r="P321" s="1624"/>
      <c r="AH321" s="1631">
        <v>0</v>
      </c>
    </row>
    <row r="322" s="1635" customFormat="1" ht="18.75" hidden="1" customHeight="1">
      <c r="A322" s="1780"/>
      <c r="B322" s="1780"/>
      <c r="C322" s="369" t="s">
        <v>1149</v>
      </c>
      <c r="D322" s="2462"/>
      <c r="E322" s="2204"/>
      <c r="F322" s="2383"/>
      <c r="G322" s="2427"/>
      <c r="H322" s="1500"/>
      <c r="I322" s="651" t="s">
        <v>1148</v>
      </c>
      <c r="J322" s="571"/>
      <c r="K322" s="1500"/>
      <c r="L322" s="214"/>
      <c r="M322" s="341"/>
      <c r="N322" s="334"/>
      <c r="O322" s="1624"/>
      <c r="P322" s="1624"/>
      <c r="AH322" s="1631">
        <v>0</v>
      </c>
    </row>
    <row r="323" s="1635" customFormat="1" ht="0.75" hidden="1" customHeight="1">
      <c r="A323" s="1780"/>
      <c r="B323" s="1780"/>
      <c r="C323" s="369" t="s">
        <v>1156</v>
      </c>
      <c r="D323" s="2462"/>
      <c r="E323" s="2204"/>
      <c r="F323" s="2383"/>
      <c r="G323" s="400"/>
      <c r="H323" s="1500"/>
      <c r="I323" s="651"/>
      <c r="J323" s="571"/>
      <c r="K323" s="1500"/>
      <c r="L323" s="214"/>
      <c r="M323" s="341"/>
      <c r="N323" s="334"/>
      <c r="O323" s="1624"/>
      <c r="P323" s="1624"/>
      <c r="AH323" s="1631">
        <v>0</v>
      </c>
    </row>
    <row r="324" s="1635" customFormat="1" ht="18.75" hidden="1" customHeight="1">
      <c r="A324" s="1780" t="s">
        <v>272</v>
      </c>
      <c r="B324" s="1780" t="s">
        <v>273</v>
      </c>
      <c r="C324" s="369"/>
      <c r="D324" s="2462"/>
      <c r="E324" s="2204"/>
      <c r="F324" s="2383" t="str">
        <f>INDEX(PT_DIFFERENTIATION_VTAR,MATCH(A324,PT_DIFFERENTIATION_VTAR_ID,0))</f>
        <v xml:space="preserve">Тариф на транспортировку сточных вод</v>
      </c>
      <c r="G324" s="2427" t="str">
        <f>INDEX(PT_DIFFERENTIATION_NTAR,MATCH(B324,PT_DIFFERENTIATION_NTAR_ID,0))</f>
        <v/>
      </c>
      <c r="H324" s="1862"/>
      <c r="I324" s="1739"/>
      <c r="J324" s="1773"/>
      <c r="K324" s="1778"/>
      <c r="L324" s="1862" t="s">
        <v>308</v>
      </c>
      <c r="M324" s="341"/>
      <c r="N324" s="334"/>
      <c r="O324" s="1624"/>
      <c r="P324" s="1624"/>
      <c r="AH324" s="1631">
        <v>0</v>
      </c>
    </row>
    <row r="325" s="1635" customFormat="1" ht="18.75" hidden="1" customHeight="1">
      <c r="A325" s="1780"/>
      <c r="B325" s="1780"/>
      <c r="C325" s="369" t="s">
        <v>1149</v>
      </c>
      <c r="D325" s="2462"/>
      <c r="E325" s="2204"/>
      <c r="F325" s="2383"/>
      <c r="G325" s="2427"/>
      <c r="H325" s="1500"/>
      <c r="I325" s="651" t="s">
        <v>1148</v>
      </c>
      <c r="J325" s="571"/>
      <c r="K325" s="1500"/>
      <c r="L325" s="214"/>
      <c r="M325" s="341"/>
      <c r="N325" s="334"/>
      <c r="O325" s="1624"/>
      <c r="P325" s="1624"/>
      <c r="AH325" s="1631">
        <v>0</v>
      </c>
    </row>
    <row r="326" s="1635" customFormat="1" ht="0.75" hidden="1" customHeight="1">
      <c r="A326" s="1780"/>
      <c r="B326" s="1780"/>
      <c r="C326" s="369" t="s">
        <v>1156</v>
      </c>
      <c r="D326" s="2462"/>
      <c r="E326" s="2204"/>
      <c r="F326" s="2383"/>
      <c r="G326" s="400"/>
      <c r="H326" s="1500"/>
      <c r="I326" s="651"/>
      <c r="J326" s="571"/>
      <c r="K326" s="1500"/>
      <c r="L326" s="214"/>
      <c r="M326" s="341"/>
      <c r="N326" s="334"/>
      <c r="O326" s="1624"/>
      <c r="P326" s="1624"/>
      <c r="AH326" s="1631">
        <v>0</v>
      </c>
    </row>
    <row r="327" s="1635" customFormat="1" ht="18.75" hidden="1" customHeight="1">
      <c r="A327" s="1780" t="s">
        <v>277</v>
      </c>
      <c r="B327" s="1780" t="s">
        <v>278</v>
      </c>
      <c r="C327" s="369"/>
      <c r="D327" s="2462"/>
      <c r="E327" s="2204"/>
      <c r="F327" s="2383" t="str">
        <f>INDEX(PT_DIFFERENTIATION_VTAR,MATCH(A327,PT_DIFFERENTIATION_VTAR_ID,0))</f>
        <v xml:space="preserve">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308</v>
      </c>
      <c r="M327" s="341"/>
      <c r="N327" s="334"/>
      <c r="O327" s="1624"/>
      <c r="P327" s="1624"/>
      <c r="AH327" s="1631">
        <v>0</v>
      </c>
    </row>
    <row r="328" s="1635" customFormat="1" ht="18.75" hidden="1" customHeight="1">
      <c r="A328" s="1780"/>
      <c r="B328" s="1780"/>
      <c r="C328" s="369" t="s">
        <v>1149</v>
      </c>
      <c r="D328" s="2462"/>
      <c r="E328" s="2204"/>
      <c r="F328" s="2383"/>
      <c r="G328" s="2427"/>
      <c r="H328" s="1500"/>
      <c r="I328" s="651" t="s">
        <v>1148</v>
      </c>
      <c r="J328" s="571"/>
      <c r="K328" s="1500"/>
      <c r="L328" s="214"/>
      <c r="M328" s="341"/>
      <c r="N328" s="334"/>
      <c r="O328" s="1624"/>
      <c r="P328" s="1624"/>
      <c r="AH328" s="1631">
        <v>0</v>
      </c>
    </row>
    <row r="329" s="1635" customFormat="1" ht="1.05" customHeight="1">
      <c r="A329" s="1780"/>
      <c r="B329" s="1780"/>
      <c r="C329" s="369" t="s">
        <v>1156</v>
      </c>
      <c r="D329" s="2462"/>
      <c r="E329" s="2204"/>
      <c r="F329" s="2383"/>
      <c r="G329" s="400"/>
      <c r="H329" s="1500"/>
      <c r="I329" s="651"/>
      <c r="J329" s="571"/>
      <c r="K329" s="1500"/>
      <c r="L329" s="214"/>
      <c r="M329" s="341"/>
      <c r="N329" s="334"/>
      <c r="O329" s="1624"/>
      <c r="P329" s="1624"/>
      <c r="AH329" s="1631">
        <v>1</v>
      </c>
    </row>
    <row r="330" s="1823" customFormat="1" ht="3" customHeight="1">
      <c r="A330" s="1780"/>
      <c r="B330" s="1780"/>
      <c r="C330" s="1781"/>
      <c r="E330" s="402"/>
      <c r="F330" s="402"/>
      <c r="G330" s="402"/>
      <c r="H330" s="402"/>
      <c r="I330" s="402"/>
      <c r="J330" s="402"/>
      <c r="K330" s="402"/>
      <c r="L330" s="402"/>
      <c r="M330" s="402"/>
      <c r="O330" s="196"/>
      <c r="P330" s="196"/>
      <c r="AH330" s="140">
        <v>3</v>
      </c>
    </row>
    <row r="331" ht="26.25" customHeight="1">
      <c r="E331" s="202"/>
      <c r="F331" s="2285"/>
      <c r="G331" s="2285"/>
      <c r="H331" s="2285"/>
      <c r="I331" s="2285"/>
      <c r="J331" s="2285"/>
      <c r="K331" s="2285"/>
      <c r="L331" s="2285"/>
      <c r="M331" s="2285"/>
      <c r="AH331" s="374">
        <v>25</v>
      </c>
    </row>
    <row r="332" ht="14.25" hidden="1" customHeight="1">
      <c r="A332" s="1779" t="s">
        <v>81</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autoFilter="0" deleteColumns="0" deleteRows="0" formatColumns="0" formatRows="0" insertColumns="1" insertRows="0" sort="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1">
    <dataValidation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allowBlank="1" prompt="Выберите дату из календаря (иконка справа от указанной ячейки), либо введите дату непосредственно в ячейку в формате - 'ДД.ММ.ГГГГ'." showErrorMessage="1" showInputMessage="1"/>
  </dataValidations>
  <pageMargins left="0.69999999999999996" right="0.69999999999999996" top="0.75" bottom="0.75" header="0.29999999999999999" footer="0.29999999999999999"/>
  <pageSetup paperSize="9" pageOrder="downThenOver" orientation="portrait"/>
  <headerFooter>
    <oddHeader>&amp;L&amp;C&amp;R</oddHeader>
    <oddFooter>&amp;L&amp;C&amp;R</oddFooter>
    <evenHeader>&amp;L&amp;C&amp;R</evenHeader>
    <evenFooter>&amp;L&amp;C&amp;R</evenFooter>
  </headerFooter>
  <drawing r:id="rId1"/>
  <extLst>
    <ext xmlns:x14="http://schemas.microsoft.com/office/spreadsheetml/2009/9/main" uri="{CCE6A557-97BC-4b89-ADB6-D9C93CAAB3DF}">
      <x14:dataValidations xmlns:xm="http://schemas.microsoft.com/office/excel/2006/main" count="3">
        <x14:dataValidation xr:uid="{00C5002A-00A1-434B-9FAC-00D700940014}" type="textLength" allowBlank="1" error="Допускается ввод не более 900 символов!" errorTitle="Ошибка" operator="lessThanOrEqual" prompt="Введите ссылку на обосновывающие материалы, загруженные с помощью &quot;ЕИАС Web&quot;." showErrorMessage="1" showInputMessage="1">
          <x14:formula1>
            <xm:f>900</xm:f>
          </x14:formula1>
          <xm:sqref>L85</xm:sqref>
        </x14:dataValidation>
        <x14:dataValidation xr:uid="{00F20038-00AB-442E-BDCF-00B9008C00F5}" type="textLength" allowBlank="1" error="Допускается ввод не более 900 символов!" errorTitle="Ошибка" operator="lessThanOrEqual" showErrorMessage="1" showInputMessage="1">
          <x14:formula1>
            <xm:f>900</xm:f>
          </x14:formula1>
          <xm:sqref>M148:M149 M209:M210 M23 M87:M88 M270:M271</xm:sqref>
        </x14:dataValidation>
        <x14:dataValidation xr:uid="{005700CA-00DD-4DDD-8E7A-00D100EF000E}" type="decimal" allowBlank="1" error="Допускается ввод только действительных чисел!" errorTitle="Ошибка" showErrorMessage="1">
          <x14:formula1>
            <xm:f>-9.99999999999999E+23</xm:f>
          </x14:formula1>
          <x14:formula2>
            <xm:f>9.99999999999999E+23</xm:f>
          </x14:formula2>
          <xm: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xm:sqref>
        </x14:dataValidation>
      </x14:dataValidations>
    </ext>
  </extLst>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sheetPr>
  <sheetViews>
    <sheetView showGridLines="0" topLeftCell="A1" zoomScale="90" workbookViewId="0">
      <selection activeCell="A1" sqref="A1"/>
    </sheetView>
  </sheetViews>
  <sheetFormatPr defaultColWidth="10.57421875" defaultRowHeight="14.25" customHeight="1"/>
  <cols>
    <col customWidth="1" hidden="1" min="1" max="1" style="2397" width="9.140625"/>
    <col customWidth="1" hidden="1" min="2" max="2" style="1366" width="9.140625"/>
    <col customWidth="1" min="3" max="3" style="344" width="3.00390625"/>
    <col customWidth="1" min="4" max="4" style="1635" width="6.00390625"/>
    <col customWidth="1" min="5" max="5" style="1635" width="53.00390625"/>
    <col customWidth="1" min="6" max="7" style="1635" width="35.00390625"/>
    <col customWidth="1" min="8" max="8" style="1635" width="89.00390625"/>
    <col customWidth="1" min="9" max="9" style="1635" width="10.00390625"/>
    <col customWidth="1" min="10" max="11" style="1624" width="10.00390625"/>
    <col customWidth="1" min="12" max="17" style="1635" width="10.00390625"/>
    <col hidden="1" min="18" max="18" style="1635" width="10.57421875"/>
  </cols>
  <sheetData>
    <row r="1" ht="22.5" hidden="1" customHeight="1">
      <c r="N1" s="255"/>
      <c r="O1" s="255"/>
      <c r="Q1" s="255"/>
      <c r="R1" s="374" t="s">
        <v>14</v>
      </c>
    </row>
    <row r="2" s="1635" customFormat="1" ht="18.75" hidden="1" customHeight="1">
      <c r="A2" s="102"/>
      <c r="B2" s="1160"/>
      <c r="C2" s="1730" t="s">
        <v>122</v>
      </c>
      <c r="D2" s="1673"/>
      <c r="E2" s="1682"/>
      <c r="F2" s="257"/>
      <c r="G2" s="1161"/>
      <c r="H2" s="374"/>
      <c r="I2" s="1624"/>
      <c r="J2" s="1624"/>
      <c r="R2" s="1631">
        <v>0</v>
      </c>
    </row>
    <row r="3" ht="14.25" hidden="1" customHeight="1">
      <c r="R3" s="374">
        <v>0</v>
      </c>
    </row>
    <row r="4" ht="6.2999999999999998" customHeight="1">
      <c r="C4" s="376"/>
      <c r="D4" s="363"/>
      <c r="E4" s="363"/>
      <c r="F4" s="363"/>
      <c r="G4" s="85"/>
      <c r="H4" s="85"/>
      <c r="R4" s="374">
        <v>6</v>
      </c>
    </row>
    <row r="5" ht="34.5" customHeight="1">
      <c r="C5" s="376"/>
      <c r="D5" s="2454" t="str">
        <f>PURCH_NAME_FORM</f>
        <v xml:space="preserve">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E5" s="2455"/>
      <c r="F5" s="2455"/>
      <c r="G5" s="2456"/>
      <c r="H5" s="266"/>
      <c r="R5" s="374">
        <v>33</v>
      </c>
    </row>
    <row r="6" s="1635" customFormat="1" ht="18" customHeight="1">
      <c r="A6" s="1669"/>
      <c r="B6" s="1160"/>
      <c r="C6" s="376"/>
      <c r="D6" s="2457" t="str">
        <f>IF(org=0,"Не определено",org)</f>
        <v xml:space="preserve">филиал ПАО "ОГК-2" - Рязанская ГРЭС</v>
      </c>
      <c r="E6" s="2458"/>
      <c r="F6" s="2458"/>
      <c r="G6" s="2459"/>
      <c r="H6" s="266"/>
      <c r="J6" s="1624"/>
      <c r="K6" s="1624"/>
      <c r="R6" s="1631">
        <v>17</v>
      </c>
    </row>
    <row r="7" ht="14.65" customHeight="1">
      <c r="C7" s="376"/>
      <c r="D7" s="363"/>
      <c r="E7" s="389"/>
      <c r="F7" s="389"/>
      <c r="G7" s="752"/>
      <c r="H7" s="193"/>
      <c r="R7" s="374">
        <v>14</v>
      </c>
    </row>
    <row r="8" ht="14.65" customHeight="1">
      <c r="C8" s="376"/>
      <c r="D8" s="2209" t="s">
        <v>302</v>
      </c>
      <c r="E8" s="2209"/>
      <c r="F8" s="2209"/>
      <c r="G8" s="2209"/>
      <c r="H8" s="2389" t="s">
        <v>303</v>
      </c>
      <c r="R8" s="374">
        <v>14</v>
      </c>
    </row>
    <row r="9" ht="24" customHeight="1">
      <c r="C9" s="376"/>
      <c r="D9" s="386" t="s">
        <v>87</v>
      </c>
      <c r="E9" s="108" t="s">
        <v>304</v>
      </c>
      <c r="F9" s="108" t="s">
        <v>305</v>
      </c>
      <c r="G9" s="108" t="s">
        <v>392</v>
      </c>
      <c r="H9" s="2389"/>
      <c r="R9" s="374">
        <v>23</v>
      </c>
    </row>
    <row r="10" ht="14.65" customHeight="1">
      <c r="A10" s="343"/>
      <c r="C10" s="376"/>
      <c r="D10" s="147" t="s">
        <v>109</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 xml:space="preserve">Сведения о правовых актах, регламентирующих правила закупки (положение о закупках) в организации водоотведения</v>
      </c>
      <c r="F10" s="257"/>
      <c r="G10" s="213"/>
      <c r="H10" s="2169" t="s">
        <v>1157</v>
      </c>
      <c r="R10" s="374">
        <v>14</v>
      </c>
    </row>
    <row r="11" ht="14.65" customHeight="1">
      <c r="A11" s="343"/>
      <c r="C11" s="376"/>
      <c r="D11" s="147" t="s">
        <v>110</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 xml:space="preserve">Сведения о месте размещения правовых актов, регламентирующих правила закупки (положение о закупках) в организации водоотведения</v>
      </c>
      <c r="F11" s="257"/>
      <c r="G11" s="213"/>
      <c r="H11" s="2170"/>
      <c r="R11" s="374">
        <v>14</v>
      </c>
    </row>
    <row r="12" ht="14.65" customHeight="1">
      <c r="A12" s="102"/>
      <c r="C12" s="387"/>
      <c r="D12" s="147" t="s">
        <v>89</v>
      </c>
      <c r="E12" s="388" t="str">
        <f>"Сведения о планировании закупочных процедур"&amp;IF(TEMPLATE_SPHERE="TKO"," &lt;1&gt;","")</f>
        <v xml:space="preserve">Сведения о планировании закупочных процедур</v>
      </c>
      <c r="F12" s="257"/>
      <c r="G12" s="213"/>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 xml:space="preserve">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0"/>
      <c r="K12" s="374"/>
      <c r="R12" s="374">
        <v>14</v>
      </c>
    </row>
    <row r="13" ht="14.65" customHeight="1">
      <c r="A13" s="102"/>
      <c r="C13" s="387"/>
      <c r="D13" s="147" t="s">
        <v>90</v>
      </c>
      <c r="E13" s="388" t="str">
        <f>"Сведения о результатах проведения закупочных процедур"&amp;IF(TEMPLATE_SPHERE="TKO"," &lt;1&gt;","")</f>
        <v xml:space="preserve">Сведения о результатах проведения закупочных процедур</v>
      </c>
      <c r="F13" s="257"/>
      <c r="G13" s="213"/>
      <c r="H13" s="2170"/>
      <c r="I13" s="350"/>
      <c r="K13" s="374"/>
      <c r="R13" s="374">
        <v>14</v>
      </c>
    </row>
    <row r="14" ht="14.65" customHeight="1">
      <c r="A14" s="343"/>
      <c r="C14" s="376"/>
      <c r="D14" s="347"/>
      <c r="E14" s="395" t="s">
        <v>324</v>
      </c>
      <c r="F14" s="349"/>
      <c r="G14" s="201"/>
      <c r="H14" s="2171"/>
      <c r="R14" s="374">
        <v>14</v>
      </c>
    </row>
    <row r="15" s="1635" customFormat="1" ht="14.65" customHeight="1">
      <c r="A15" s="343"/>
      <c r="B15" s="1160"/>
      <c r="C15" s="376"/>
      <c r="D15" s="396"/>
      <c r="E15" s="1677"/>
      <c r="F15" s="1678"/>
      <c r="G15" s="1679"/>
      <c r="H15" s="1680"/>
      <c r="J15" s="1624"/>
      <c r="K15" s="1624"/>
      <c r="R15" s="1631">
        <v>14</v>
      </c>
    </row>
    <row r="16" ht="14.65" customHeight="1">
      <c r="D16" s="1681"/>
      <c r="E16" s="2385"/>
      <c r="F16" s="2385"/>
      <c r="G16" s="2385"/>
      <c r="H16" s="2385"/>
      <c r="R16" s="374">
        <v>14</v>
      </c>
    </row>
    <row r="17" ht="22.5" hidden="1" customHeight="1">
      <c r="A17" s="364" t="s">
        <v>81</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autoFilter="0" deleteColumns="0" deleteRows="0" formatColumns="0" formatRows="0" insertColumns="1" insertRows="0" sort="0"/>
  <mergeCells count="7">
    <mergeCell ref="E16:H16"/>
    <mergeCell ref="H10:H11"/>
    <mergeCell ref="H12:H14"/>
    <mergeCell ref="D5:G5"/>
    <mergeCell ref="D8:G8"/>
    <mergeCell ref="H8:H9"/>
    <mergeCell ref="D6:G6"/>
  </mergeCells>
  <pageMargins left="0.69999999999999996" right="0.69999999999999996" top="0.75" bottom="0.75" header="0.29999999999999999" footer="0.29999999999999999"/>
  <pageSetup paperSize="9" pageOrder="downThenOver" orientation="portrait"/>
  <headerFooter>
    <oddHeader>&amp;L&amp;C&amp;R</oddHeader>
    <oddFooter>&amp;L&amp;C&amp;R</oddFooter>
    <evenHeader>&amp;L&amp;C&amp;R</evenHeader>
    <evenFooter>&amp;L&amp;C&amp;R</evenFooter>
  </headerFooter>
  <drawing r:id="rId1"/>
  <extLst>
    <ext xmlns:x14="http://schemas.microsoft.com/office/spreadsheetml/2009/9/main" uri="{CCE6A557-97BC-4b89-ADB6-D9C93CAAB3DF}">
      <x14:dataValidations xmlns:xm="http://schemas.microsoft.com/office/excel/2006/main" count="2">
        <x14:dataValidation xr:uid="{005B00D1-0007-4D47-8719-006F008F00A0}" type="textLength" allowBlank="1" error="Допускается ввод не более 900 символов!" errorTitle="Ошибка" operator="lessThanOrEqual"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howErrorMessage="1" showInputMessage="1">
          <x14:formula1>
            <xm:f>900</xm:f>
          </x14:formula1>
          <xm:sqref>G2 G10:G13</xm:sqref>
        </x14:dataValidation>
        <x14:dataValidation xr:uid="{003E00AC-00CE-4849-BA32-00A400A8009B}" type="textLength" allowBlank="1" error="Допускается ввод не более 900 символов!" errorTitle="Ошибка" operator="lessThanOrEqual" showErrorMessage="1" showInputMessage="1">
          <x14:formula1>
            <xm:f>900</xm:f>
          </x14:formula1>
          <xm:sqref>H10 E13 E2:F2 F10:F13</xm:sqref>
        </x14:dataValidation>
      </x14:dataValidations>
    </ext>
  </extLst>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2" tint="-0.10000000000000001"/>
  </sheetPr>
  <sheetViews>
    <sheetView showGridLines="0" topLeftCell="A1" zoomScale="90" workbookViewId="0">
      <selection activeCell="K8" sqref="K8"/>
    </sheetView>
  </sheetViews>
  <sheetFormatPr defaultColWidth="10.57421875" defaultRowHeight="15" customHeight="1"/>
  <cols>
    <col customWidth="1" hidden="1" min="1" max="1" style="1632" width="9.140625"/>
    <col customWidth="1" hidden="1" min="2" max="2" style="1635" width="9.140625"/>
    <col customWidth="1" min="3" max="3" style="683" width="4.00390625"/>
    <col customWidth="1" min="4" max="4" style="1635" width="6.00390625"/>
    <col customWidth="1" min="5" max="5" style="1635" width="47.00390625"/>
    <col customWidth="1" min="6" max="6" style="1635" width="9.00390625"/>
    <col customWidth="1" hidden="1" min="7" max="7" style="1635" width="25.7109375"/>
    <col customWidth="1" hidden="1" min="8" max="8" style="1635" width="34.00390625"/>
    <col customWidth="1" min="9" max="9" style="1635" width="25.7109375"/>
    <col customWidth="1" min="10" max="10" style="1635" width="33.00390625"/>
    <col customWidth="1" min="11" max="11" style="1635" width="25.7109375"/>
    <col customWidth="1" min="12" max="12" style="1635" width="34.00390625"/>
    <col customWidth="1" min="13" max="13" style="1366" width="50.00390625"/>
    <col customWidth="1" min="14" max="22" style="1635" width="10.00390625"/>
    <col customWidth="1" min="23" max="23" style="675" width="10.00390625"/>
    <col hidden="1" min="24" max="24" style="1635" width="10.57421875"/>
  </cols>
  <sheetData>
    <row r="1" s="1366" customFormat="1" ht="22.5" hidden="1" customHeight="1">
      <c r="C1" s="672"/>
      <c r="G1" s="417">
        <v>4</v>
      </c>
      <c r="I1" s="417">
        <v>4</v>
      </c>
      <c r="K1" s="1366">
        <v>4</v>
      </c>
      <c r="L1" s="1366"/>
      <c r="W1" s="420"/>
      <c r="X1" s="417" t="s">
        <v>14</v>
      </c>
    </row>
    <row r="2" s="1635" customFormat="1" ht="15" hidden="1" customHeight="1">
      <c r="A2" s="362"/>
      <c r="C2" s="176"/>
      <c r="D2" s="346"/>
      <c r="E2" s="673"/>
      <c r="F2" s="522"/>
      <c r="G2" s="616"/>
      <c r="H2" s="616"/>
      <c r="I2" s="616"/>
      <c r="J2" s="616"/>
      <c r="K2" s="616"/>
      <c r="L2" s="616"/>
      <c r="W2" s="674"/>
      <c r="X2" s="509">
        <v>0</v>
      </c>
    </row>
    <row r="3" s="1366" customFormat="1" ht="15" hidden="1" customHeight="1">
      <c r="C3" s="672"/>
      <c r="K3" s="1366"/>
      <c r="L3" s="1366"/>
      <c r="W3" s="420"/>
      <c r="X3" s="417">
        <v>0</v>
      </c>
    </row>
    <row r="4" ht="15.75" customHeight="1">
      <c r="C4" s="176"/>
      <c r="D4" s="509"/>
      <c r="E4" s="509"/>
      <c r="F4" s="509"/>
      <c r="G4" s="509"/>
      <c r="H4" s="509"/>
      <c r="I4" s="509"/>
      <c r="J4" s="509"/>
      <c r="K4" s="1635"/>
      <c r="L4" s="1635"/>
      <c r="X4" s="505">
        <v>15</v>
      </c>
    </row>
    <row r="5" ht="66" customHeight="1">
      <c r="C5" s="176"/>
      <c r="D5" s="2237" t="s">
        <v>1158</v>
      </c>
      <c r="E5" s="2237"/>
      <c r="F5" s="2237"/>
      <c r="G5" s="2237"/>
      <c r="H5" s="2237"/>
      <c r="I5" s="2237"/>
      <c r="J5" s="2237"/>
      <c r="K5" s="2248"/>
      <c r="L5" s="2248"/>
      <c r="X5" s="505">
        <v>63</v>
      </c>
    </row>
    <row r="6" ht="15.75" customHeight="1">
      <c r="C6" s="176"/>
      <c r="D6" s="2176" t="str">
        <f>IF(org=0,"Не определено",org)</f>
        <v xml:space="preserve">филиал ПАО "ОГК-2" - Рязанская ГРЭС</v>
      </c>
      <c r="E6" s="2176"/>
      <c r="F6" s="2176"/>
      <c r="G6" s="2176"/>
      <c r="H6" s="2176"/>
      <c r="I6" s="2176"/>
      <c r="J6" s="2176"/>
      <c r="K6" s="2249"/>
      <c r="L6" s="2249"/>
      <c r="M6" s="537"/>
      <c r="X6" s="505">
        <v>15</v>
      </c>
    </row>
    <row r="7" ht="15.75" customHeight="1">
      <c r="C7" s="176"/>
      <c r="D7" s="752"/>
      <c r="E7" s="509"/>
      <c r="F7" s="509"/>
      <c r="G7" s="537">
        <v>22</v>
      </c>
      <c r="I7" s="537">
        <v>1</v>
      </c>
      <c r="J7" s="752"/>
      <c r="K7" s="1366" t="s">
        <v>22</v>
      </c>
      <c r="L7" s="1635"/>
      <c r="X7" s="505">
        <v>15</v>
      </c>
    </row>
    <row r="8" s="1635" customFormat="1" ht="1.05" customHeight="1">
      <c r="A8" s="759"/>
      <c r="C8" s="176"/>
      <c r="D8" s="509"/>
      <c r="E8" s="509"/>
      <c r="F8" s="509"/>
      <c r="G8" s="537"/>
      <c r="H8" s="752"/>
      <c r="I8" s="537" t="s">
        <v>117</v>
      </c>
      <c r="J8" s="752"/>
      <c r="K8" s="1366" t="s">
        <v>123</v>
      </c>
      <c r="L8" s="752"/>
      <c r="M8" s="417"/>
      <c r="W8" s="675"/>
      <c r="X8" s="758">
        <v>1</v>
      </c>
    </row>
    <row r="9" ht="15.75" customHeight="1">
      <c r="C9" s="176"/>
      <c r="D9" s="711"/>
      <c r="E9" s="2367" t="s">
        <v>105</v>
      </c>
      <c r="F9" s="2368"/>
      <c r="G9" s="2395" t="str">
        <f>IF(G8="","",INDEX(DIFFERENTIATION_UNMERGE_VD,MATCH(G8,DIFFERENTIATION_ID_DIFF,0)))</f>
        <v/>
      </c>
      <c r="H9" s="2396"/>
      <c r="I9" s="2395" t="str">
        <f>IF(I8="","",INDEX(DIFFERENTIATION_UNMERGE_VD,MATCH(I8,DIFFERENTIATION_ID_DIFF,0)))</f>
        <v>Водоотведение</v>
      </c>
      <c r="J9" s="2396"/>
      <c r="K9" s="2395" t="str">
        <f>IF(K8="","",INDEX(DIFFERENTIATION_UNMERGE_VD,MATCH(K8,DIFFERENTIATION_ID_DIFF,0)))</f>
        <v>Транспортировка</v>
      </c>
      <c r="L9" s="2396"/>
      <c r="M9" s="2175" t="s">
        <v>303</v>
      </c>
      <c r="X9" s="505">
        <v>15</v>
      </c>
    </row>
    <row r="10" s="1635" customFormat="1" ht="15.75" customHeight="1">
      <c r="A10" s="759"/>
      <c r="C10" s="176"/>
      <c r="D10" s="711"/>
      <c r="E10" s="2367" t="s">
        <v>566</v>
      </c>
      <c r="F10" s="2368"/>
      <c r="G10" s="2395" t="str">
        <f>IF(G8="","",INDEX(DIFFERENTIATION_UNMERGE_AREA,MATCH(G8,DIFFERENTIATION_ID_DIFF,0)))</f>
        <v/>
      </c>
      <c r="H10" s="2396"/>
      <c r="I10" s="2395" t="str">
        <f>IF(I8="","",INDEX(DIFFERENTIATION_UNMERGE_AREA,MATCH(I8,DIFFERENTIATION_ID_DIFF,0)))</f>
        <v xml:space="preserve">без дифференциации</v>
      </c>
      <c r="J10" s="2396"/>
      <c r="K10" s="2395" t="str">
        <f>IF(K8="","",INDEX(DIFFERENTIATION_UNMERGE_AREA,MATCH(K8,DIFFERENTIATION_ID_DIFF,0)))</f>
        <v xml:space="preserve">без дифференциации</v>
      </c>
      <c r="L10" s="2396"/>
      <c r="M10" s="2199"/>
      <c r="W10" s="675"/>
      <c r="X10" s="758">
        <v>15</v>
      </c>
    </row>
    <row r="11" s="1635" customFormat="1" ht="15.75" customHeight="1">
      <c r="A11" s="759"/>
      <c r="C11" s="176"/>
      <c r="D11" s="711"/>
      <c r="E11" s="2367" t="s">
        <v>567</v>
      </c>
      <c r="F11" s="2368"/>
      <c r="G11" s="2395" t="str">
        <f>IF(G8="","",INDEX(DIFFERENTIATION_UNMERGE_SYSTEM,MATCH(G8,DIFFERENTIATION_ID_DIFF,0)))</f>
        <v/>
      </c>
      <c r="H11" s="2396"/>
      <c r="I11" s="2395" t="str">
        <f>IF(I8="","",INDEX(DIFFERENTIATION_UNMERGE_SYSTEM,MATCH(I8,DIFFERENTIATION_ID_DIFF,0)))</f>
        <v xml:space="preserve">без дифференциации</v>
      </c>
      <c r="J11" s="2396"/>
      <c r="K11" s="2395" t="str">
        <f>IF(K8="","",INDEX(DIFFERENTIATION_UNMERGE_SYSTEM,MATCH(K8,DIFFERENTIATION_ID_DIFF,0)))</f>
        <v xml:space="preserve">без дифференциации</v>
      </c>
      <c r="L11" s="2396"/>
      <c r="M11" s="2199"/>
      <c r="W11" s="675"/>
      <c r="X11" s="758">
        <v>15</v>
      </c>
    </row>
    <row r="12" s="1635" customFormat="1" ht="15.75" customHeight="1">
      <c r="A12" s="759"/>
      <c r="C12" s="176"/>
      <c r="D12" s="2369" t="s">
        <v>302</v>
      </c>
      <c r="E12" s="2370"/>
      <c r="F12" s="2370"/>
      <c r="G12" s="887"/>
      <c r="H12" s="887"/>
      <c r="I12" s="887"/>
      <c r="J12" s="887"/>
      <c r="K12" s="2367"/>
      <c r="L12" s="2367"/>
      <c r="M12" s="2199"/>
      <c r="W12" s="675"/>
      <c r="X12" s="758">
        <v>15</v>
      </c>
    </row>
    <row r="13" ht="35.649999999999999" customHeight="1">
      <c r="C13" s="176"/>
      <c r="D13" s="805" t="s">
        <v>87</v>
      </c>
      <c r="E13" s="807" t="s">
        <v>304</v>
      </c>
      <c r="F13" s="807" t="s">
        <v>568</v>
      </c>
      <c r="G13" s="808" t="s">
        <v>305</v>
      </c>
      <c r="H13" s="807" t="s">
        <v>392</v>
      </c>
      <c r="I13" s="808" t="s">
        <v>305</v>
      </c>
      <c r="J13" s="807" t="s">
        <v>392</v>
      </c>
      <c r="K13" s="2262" t="s">
        <v>305</v>
      </c>
      <c r="L13" s="2312" t="s">
        <v>392</v>
      </c>
      <c r="M13" s="2232"/>
      <c r="X13" s="505">
        <v>34</v>
      </c>
    </row>
    <row r="14" ht="15" hidden="1" customHeight="1">
      <c r="C14" s="176"/>
      <c r="D14" s="593" t="s">
        <v>109</v>
      </c>
      <c r="E14" s="593" t="s">
        <v>110</v>
      </c>
      <c r="F14" s="593" t="s">
        <v>89</v>
      </c>
      <c r="G14" s="659" t="str">
        <f>G1&amp;".1"</f>
        <v>4.1</v>
      </c>
      <c r="H14" s="659"/>
      <c r="I14" s="659" t="str">
        <f>I1&amp;".1"</f>
        <v>4.1</v>
      </c>
      <c r="J14" s="659"/>
      <c r="K14" s="683" t="str">
        <f>K1&amp;".1"</f>
        <v>4.1</v>
      </c>
      <c r="L14" s="683"/>
      <c r="M14" s="289"/>
      <c r="X14" s="505">
        <v>0</v>
      </c>
    </row>
    <row r="15" ht="22.5" hidden="1" customHeight="1">
      <c r="A15" s="505"/>
      <c r="C15" s="526"/>
      <c r="D15" s="521">
        <v>1</v>
      </c>
      <c r="E15" s="677" t="s">
        <v>811</v>
      </c>
      <c r="F15" s="521" t="s">
        <v>812</v>
      </c>
      <c r="G15" s="678"/>
      <c r="H15" s="678"/>
      <c r="I15" s="678"/>
      <c r="J15" s="678"/>
      <c r="K15" s="678"/>
      <c r="L15" s="678"/>
      <c r="M15" s="289" t="s">
        <v>813</v>
      </c>
      <c r="X15" s="505">
        <v>0</v>
      </c>
    </row>
    <row r="16" ht="22.5" hidden="1" customHeight="1">
      <c r="A16" s="505"/>
      <c r="C16" s="526"/>
      <c r="D16" s="521">
        <v>2</v>
      </c>
      <c r="E16" s="279" t="s">
        <v>814</v>
      </c>
      <c r="F16" s="521" t="s">
        <v>815</v>
      </c>
      <c r="G16" s="678"/>
      <c r="H16" s="678"/>
      <c r="I16" s="678"/>
      <c r="J16" s="678"/>
      <c r="K16" s="678"/>
      <c r="L16" s="678"/>
      <c r="M16" s="289" t="s">
        <v>816</v>
      </c>
      <c r="X16" s="505">
        <v>0</v>
      </c>
    </row>
    <row r="17" ht="123.75" hidden="1" customHeight="1">
      <c r="A17" s="505"/>
      <c r="C17" s="526"/>
      <c r="D17" s="521">
        <v>3</v>
      </c>
      <c r="E17" s="279" t="s">
        <v>1159</v>
      </c>
      <c r="F17" s="521" t="s">
        <v>308</v>
      </c>
      <c r="G17" s="678"/>
      <c r="H17" s="678"/>
      <c r="I17" s="678"/>
      <c r="J17" s="678"/>
      <c r="K17" s="678"/>
      <c r="L17" s="678"/>
      <c r="M17" s="289" t="s">
        <v>1160</v>
      </c>
      <c r="X17" s="505">
        <v>0</v>
      </c>
    </row>
    <row r="18" ht="48.25" customHeight="1">
      <c r="A18" s="505"/>
      <c r="C18" s="526"/>
      <c r="D18" s="521">
        <v>3</v>
      </c>
      <c r="E18" s="279" t="s">
        <v>817</v>
      </c>
      <c r="F18" s="521" t="s">
        <v>308</v>
      </c>
      <c r="G18" s="809" t="s">
        <v>308</v>
      </c>
      <c r="H18" s="810" t="s">
        <v>308</v>
      </c>
      <c r="I18" s="521" t="s">
        <v>308</v>
      </c>
      <c r="J18" s="578" t="s">
        <v>308</v>
      </c>
      <c r="K18" s="2312" t="s">
        <v>308</v>
      </c>
      <c r="L18" s="2260" t="s">
        <v>308</v>
      </c>
      <c r="M18" s="289" t="s">
        <v>1161</v>
      </c>
      <c r="X18" s="505">
        <v>46</v>
      </c>
    </row>
    <row r="19" ht="35.649999999999999" customHeight="1">
      <c r="A19" s="505"/>
      <c r="C19" s="526"/>
      <c r="D19" s="539" t="s">
        <v>326</v>
      </c>
      <c r="E19" s="559" t="s">
        <v>819</v>
      </c>
      <c r="F19" s="521" t="s">
        <v>820</v>
      </c>
      <c r="G19" s="817"/>
      <c r="H19" s="106"/>
      <c r="I19" s="817"/>
      <c r="J19" s="818"/>
      <c r="K19" s="817"/>
      <c r="L19" s="2501"/>
      <c r="M19" s="679"/>
      <c r="X19" s="505">
        <v>34</v>
      </c>
    </row>
    <row r="20" ht="35.649999999999999" customHeight="1">
      <c r="A20" s="505"/>
      <c r="C20" s="526"/>
      <c r="D20" s="1890" t="s">
        <v>334</v>
      </c>
      <c r="E20" s="559" t="s">
        <v>821</v>
      </c>
      <c r="F20" s="521" t="s">
        <v>822</v>
      </c>
      <c r="G20" s="817"/>
      <c r="H20" s="106"/>
      <c r="I20" s="817"/>
      <c r="J20" s="106"/>
      <c r="K20" s="817"/>
      <c r="L20" s="2501"/>
      <c r="M20" s="679"/>
      <c r="X20" s="505">
        <v>34</v>
      </c>
    </row>
    <row r="21" ht="48.25" customHeight="1">
      <c r="A21" s="505"/>
      <c r="C21" s="526"/>
      <c r="D21" s="1890" t="s">
        <v>336</v>
      </c>
      <c r="E21" s="559" t="s">
        <v>823</v>
      </c>
      <c r="F21" s="521" t="s">
        <v>573</v>
      </c>
      <c r="G21" s="680"/>
      <c r="H21" s="106"/>
      <c r="I21" s="680"/>
      <c r="J21" s="106"/>
      <c r="K21" s="680"/>
      <c r="L21" s="2501"/>
      <c r="M21" s="679"/>
      <c r="X21" s="505">
        <v>46</v>
      </c>
    </row>
    <row r="22" ht="67.5" hidden="1" customHeight="1">
      <c r="A22" s="505"/>
      <c r="C22" s="526"/>
      <c r="D22" s="521">
        <v>5</v>
      </c>
      <c r="E22" s="279" t="s">
        <v>1162</v>
      </c>
      <c r="F22" s="521" t="s">
        <v>560</v>
      </c>
      <c r="G22" s="681"/>
      <c r="H22" s="682"/>
      <c r="I22" s="681"/>
      <c r="J22" s="682"/>
      <c r="K22" s="681"/>
      <c r="L22" s="1439"/>
      <c r="M22" s="289" t="s">
        <v>1163</v>
      </c>
      <c r="X22" s="505">
        <v>0</v>
      </c>
    </row>
    <row r="23" ht="33.75" hidden="1" customHeight="1">
      <c r="C23" s="451"/>
      <c r="D23" s="521">
        <v>6</v>
      </c>
      <c r="E23" s="279" t="s">
        <v>1164</v>
      </c>
      <c r="F23" s="521" t="s">
        <v>1165</v>
      </c>
      <c r="G23" s="681"/>
      <c r="H23" s="681"/>
      <c r="I23" s="681"/>
      <c r="J23" s="681"/>
      <c r="K23" s="681"/>
      <c r="L23" s="681"/>
      <c r="M23" s="289" t="s">
        <v>1166</v>
      </c>
      <c r="X23" s="505">
        <v>0</v>
      </c>
    </row>
    <row r="24" ht="15.75" customHeight="1">
      <c r="K24" s="1635"/>
      <c r="L24" s="1635"/>
      <c r="X24" s="505">
        <v>15</v>
      </c>
    </row>
    <row r="25" ht="15.75" customHeight="1">
      <c r="K25" s="1635"/>
      <c r="L25" s="1635"/>
      <c r="X25" s="505">
        <v>15</v>
      </c>
    </row>
    <row r="26" ht="15.75" customHeight="1">
      <c r="K26" s="1635"/>
      <c r="L26" s="1635"/>
      <c r="X26" s="505">
        <v>15</v>
      </c>
    </row>
    <row r="27" ht="15.75" customHeight="1">
      <c r="K27" s="1635"/>
      <c r="L27" s="1635"/>
      <c r="X27" s="505">
        <v>15</v>
      </c>
    </row>
    <row r="28" ht="15.75" customHeight="1">
      <c r="K28" s="1635"/>
      <c r="L28" s="1635"/>
      <c r="X28" s="505">
        <v>15</v>
      </c>
    </row>
    <row r="29" ht="15.75" customHeight="1">
      <c r="J29" s="819"/>
      <c r="K29" s="1635"/>
      <c r="L29" s="1635"/>
      <c r="X29" s="505">
        <v>15</v>
      </c>
    </row>
    <row r="30" ht="22.5" hidden="1" customHeight="1">
      <c r="A30" s="449" t="s">
        <v>81</v>
      </c>
      <c r="B30" s="505">
        <v>0</v>
      </c>
      <c r="C30" s="683">
        <v>4</v>
      </c>
      <c r="D30" s="505">
        <v>6</v>
      </c>
      <c r="E30" s="505">
        <v>47</v>
      </c>
      <c r="F30" s="505">
        <v>9</v>
      </c>
      <c r="G30" s="758">
        <v>0</v>
      </c>
      <c r="H30" s="758">
        <v>0</v>
      </c>
      <c r="I30" s="505">
        <v>25</v>
      </c>
      <c r="J30" s="505">
        <v>33</v>
      </c>
      <c r="K30" s="1635">
        <v>0</v>
      </c>
      <c r="L30" s="1635">
        <v>0</v>
      </c>
      <c r="M30" s="417">
        <v>50</v>
      </c>
      <c r="N30" s="505">
        <v>10</v>
      </c>
      <c r="O30" s="505">
        <v>10</v>
      </c>
      <c r="P30" s="505">
        <v>10</v>
      </c>
      <c r="Q30" s="505">
        <v>10</v>
      </c>
      <c r="R30" s="505">
        <v>10</v>
      </c>
      <c r="S30" s="505">
        <v>10</v>
      </c>
      <c r="T30" s="505">
        <v>10</v>
      </c>
      <c r="U30" s="505">
        <v>10</v>
      </c>
      <c r="V30" s="505">
        <v>10</v>
      </c>
      <c r="W30" s="675">
        <v>10</v>
      </c>
      <c r="X30" s="505">
        <v>23</v>
      </c>
    </row>
  </sheetData>
  <sheetProtection autoFilter="0" deleteColumns="0" deleteRows="0" formatColumns="0" formatRows="0" insertColumns="1" insertRows="0" sort="0"/>
  <mergeCells count="16">
    <mergeCell ref="D5:J5"/>
    <mergeCell ref="D6:J6"/>
    <mergeCell ref="M9:M13"/>
    <mergeCell ref="I9:J9"/>
    <mergeCell ref="E9:F9"/>
    <mergeCell ref="E10:F10"/>
    <mergeCell ref="E11:F11"/>
    <mergeCell ref="I10:J10"/>
    <mergeCell ref="I11:J11"/>
    <mergeCell ref="G9:H9"/>
    <mergeCell ref="G10:H10"/>
    <mergeCell ref="G11:H11"/>
    <mergeCell ref="D12:F12"/>
    <mergeCell ref="K9:L9"/>
    <mergeCell ref="K10:L10"/>
    <mergeCell ref="K11:L11"/>
  </mergeCells>
  <dataValidations count="1">
    <dataValidation sqref="E15 E13" allowBlank="1" prompt="Количество поданных заявок на подключение (технологическое присоединение) к системе теплоснабжения в течение квартала, шт." showErrorMessage="1" showInputMessage="1"/>
  </dataValidations>
  <pageMargins left="0.69999999999999996" right="0.69999999999999996" top="0.75" bottom="0.75" header="0.29999999999999999" footer="0.29999999999999999"/>
  <pageSetup paperSize="9"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3">
        <x14:dataValidation xr:uid="{001E007B-0048-4210-A863-00100065005B}" type="textLength" allowBlank="1" error="Допускается ввод не более 900 символов!" errorTitle="Ошибка" operator="lessThanOrEqual" showErrorMessage="1" showInputMessage="1">
          <x14:formula1>
            <xm:f>900</xm:f>
          </x14:formula1>
          <xm:sqref>H19:H21 J19:J21 L19:L21</xm:sqref>
        </x14:dataValidation>
        <x14:dataValidation xr:uid="{00CA006C-0055-4229-B1B8-008A004C0037}" type="whole" allowBlank="1" error="Допускается ввод только неотрицательных целых чисел!" errorTitle="Ошибка" showErrorMessage="1">
          <x14:formula1>
            <xm:f>0</xm:f>
          </x14:formula1>
          <x14:formula2>
            <xm:f>9.99999999999999E+23</xm:f>
          </x14:formula2>
          <xm:sqref>G19:G20 I19:I20 K19 K20</xm:sqref>
        </x14:dataValidation>
        <x14:dataValidation xr:uid="{007E0086-00BA-43E2-8DCF-00E900DB00E4}" type="decimal" allowBlank="1" error="Допускается ввод только неотрицательных чисел!" errorTitle="Ошибка" showErrorMessage="1">
          <x14:formula1>
            <xm:f>0</xm:f>
          </x14:formula1>
          <x14:formula2>
            <xm:f>9.99999999999999E+23</xm:f>
          </x14:formula2>
          <xm:sqref>G21 I21 K21</xm:sqref>
        </x14:dataValidation>
      </x14:dataValidations>
    </ext>
  </extLst>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sheetPr>
  <sheetViews>
    <sheetView showGridLines="0" topLeftCell="A1" workbookViewId="0">
      <selection activeCell="A1" sqref="A1"/>
    </sheetView>
  </sheetViews>
  <sheetFormatPr defaultColWidth="9.140625" defaultRowHeight="11.25" customHeight="1"/>
  <cols>
    <col customWidth="1" min="1" max="1" style="1202" width="32.57421875"/>
    <col customWidth="1" min="2" max="2" style="1850" width="11.00390625"/>
    <col min="3" max="3" style="1850" width="9.140625"/>
    <col customWidth="1" min="4" max="4" style="1850" width="26.57421875"/>
    <col customWidth="1" min="5" max="5" style="1823" width="36.8515625"/>
    <col customWidth="1" min="6" max="6" style="1823" width="23.57421875"/>
    <col customWidth="1" min="7" max="7" style="1823" width="31.421875"/>
    <col customWidth="1" min="8" max="8" style="1823" width="40.8515625"/>
    <col customWidth="1" min="9" max="9" style="1823" width="14.57421875"/>
    <col customWidth="1" min="10" max="10" style="1823" width="26.8515625"/>
    <col customWidth="1" min="11" max="11" style="1823" width="50.00390625"/>
    <col customWidth="1" min="12" max="12" style="1823" width="52.421875"/>
    <col customWidth="1" min="13" max="13" style="1823" width="10.7109375"/>
    <col customWidth="1" min="14" max="14" style="1823" width="55.140625"/>
    <col customWidth="1" min="15" max="15" style="1823" width="31.8515625"/>
    <col customWidth="1" min="16" max="16" style="1823" width="23.8515625"/>
    <col customWidth="1" min="17" max="17" style="1823" width="46.57421875"/>
    <col customWidth="1" min="18" max="18" style="1823" width="24.00390625"/>
    <col customWidth="1" min="19" max="19" style="1823" width="20.57421875"/>
    <col customWidth="1" min="20" max="20" style="1823" width="22.00390625"/>
    <col customWidth="1" min="21" max="22" style="1823" width="26.421875"/>
    <col customWidth="1" hidden="1" min="23" max="23" style="1823" width="8.28125"/>
    <col customWidth="1" min="24" max="24" style="1823" width="59.7109375"/>
    <col customWidth="1" min="25" max="25" style="1823" width="49.140625"/>
    <col customWidth="1" min="26" max="26" style="1823" width="11.140625"/>
    <col customWidth="1" min="27" max="30" style="1823" width="29.00390625"/>
    <col min="31" max="31" style="1823" width="9.140625"/>
    <col customWidth="1" min="32" max="32" style="1823" width="34.7109375"/>
    <col min="33" max="33" style="1823" width="9.140625"/>
    <col customWidth="1" min="34" max="35" style="1823" width="34.421875"/>
    <col min="36" max="36" style="1823" width="9.140625"/>
    <col customWidth="1" min="37" max="37" style="1823" width="24.57421875"/>
    <col min="38" max="38" style="1823" width="9.140625"/>
    <col customWidth="1" min="39" max="39" style="1823" width="26.140625"/>
    <col customWidth="1" min="40" max="40" style="1823" width="1.7109375"/>
    <col min="41" max="41" style="1823" width="9.140625"/>
    <col customWidth="1" min="42" max="43" style="1823" width="47.8515625"/>
    <col customWidth="1" min="44" max="44" style="1823" width="1.7109375"/>
    <col customWidth="1" min="45" max="45" style="1823" width="21.421875"/>
    <col customWidth="1" min="46" max="46" style="1823" width="1.7109375"/>
    <col customWidth="1" min="47" max="47" style="1823" width="31.28125"/>
    <col customWidth="1" min="48" max="48" style="1823" width="1.7109375"/>
    <col min="49" max="50" style="1823" width="9.140625"/>
    <col customWidth="1" min="51" max="51" style="1823" width="3.7109375"/>
    <col customWidth="1" min="52" max="52" style="1823" width="60.8515625"/>
    <col customWidth="1" min="53" max="53" style="1823" width="49.28125"/>
    <col customWidth="1" min="54" max="54" style="1823" width="35.140625"/>
    <col min="55" max="55" style="1823" width="9.140625"/>
    <col customWidth="1" min="56" max="56" style="1823" width="1.7109375"/>
    <col customWidth="1" min="57" max="57" style="1066" width="12.57421875"/>
    <col customWidth="1" min="58" max="58" style="1066" width="14.28125"/>
    <col customWidth="1" min="59" max="59" style="1823" width="30.7109375"/>
    <col customWidth="1" min="60" max="60" style="1840" width="40.7109375"/>
    <col customWidth="1" min="61" max="61" style="1840" width="15.00390625"/>
    <col customWidth="1" min="62" max="62" style="1840" width="40.7109375"/>
    <col customWidth="1" min="63" max="63" style="1840" width="2.7109375"/>
    <col customWidth="1" min="64" max="64" style="1840" width="44.7109375"/>
    <col customWidth="1" min="65" max="65" style="1840" width="2.7109375"/>
    <col customWidth="1" min="66" max="66" style="1840" width="40.7109375"/>
    <col min="67" max="68" style="1823" width="9.140625"/>
    <col customWidth="1" min="69" max="69" style="1823" width="18.140625"/>
    <col customWidth="1" min="70" max="70" style="1823" width="57.8515625"/>
    <col customWidth="1" min="71" max="71" style="1823" width="1.7109375"/>
    <col customWidth="1" min="72" max="72" style="1823" width="22.57421875"/>
    <col customWidth="1" min="73" max="73" style="1823" width="57.8515625"/>
    <col customWidth="1" min="74" max="74" style="1823" width="1.7109375"/>
    <col customWidth="1" min="75" max="75" style="1823" width="22.57421875"/>
    <col customWidth="1" min="76" max="76" style="1823" width="57.8515625"/>
    <col customWidth="1" min="77" max="77" style="1823" width="1.7109375"/>
    <col customWidth="1" min="78" max="78" style="1823" width="22.57421875"/>
    <col customWidth="1" min="79" max="79" style="1823" width="57.8515625"/>
    <col min="80" max="81" style="1823" width="9.140625"/>
    <col customWidth="1" min="82" max="82" style="1823" width="49.57421875"/>
  </cols>
  <sheetData>
    <row r="1" s="1427" customFormat="1" ht="11.25" customHeight="1">
      <c r="A1" s="1067" t="s">
        <v>1167</v>
      </c>
      <c r="B1" s="1067" t="s">
        <v>1168</v>
      </c>
      <c r="C1" s="1067" t="s">
        <v>1169</v>
      </c>
      <c r="D1" s="1067" t="s">
        <v>1170</v>
      </c>
      <c r="E1" s="1067" t="s">
        <v>1171</v>
      </c>
      <c r="F1" s="1067" t="s">
        <v>1172</v>
      </c>
      <c r="G1" s="1067" t="s">
        <v>1173</v>
      </c>
      <c r="H1" s="1067" t="s">
        <v>1174</v>
      </c>
      <c r="I1" s="1067" t="s">
        <v>1175</v>
      </c>
      <c r="J1" s="1067" t="s">
        <v>1176</v>
      </c>
      <c r="K1" s="1067" t="s">
        <v>1177</v>
      </c>
      <c r="L1" s="1067" t="s">
        <v>1178</v>
      </c>
      <c r="M1" s="1067"/>
      <c r="N1" s="1067" t="s">
        <v>1179</v>
      </c>
      <c r="O1" s="1067" t="s">
        <v>1180</v>
      </c>
      <c r="P1" s="1067" t="s">
        <v>1181</v>
      </c>
      <c r="Q1" s="1067" t="s">
        <v>1182</v>
      </c>
      <c r="R1" s="1067" t="s">
        <v>1183</v>
      </c>
      <c r="S1" s="1067" t="s">
        <v>1184</v>
      </c>
      <c r="T1" s="1067" t="s">
        <v>1185</v>
      </c>
      <c r="U1" s="1067" t="s">
        <v>1186</v>
      </c>
      <c r="V1" s="1067"/>
      <c r="W1" s="797" t="s">
        <v>1187</v>
      </c>
      <c r="X1" s="1067" t="s">
        <v>1188</v>
      </c>
      <c r="Y1" s="1067" t="s">
        <v>1189</v>
      </c>
      <c r="Z1" s="1067"/>
      <c r="AA1" s="1067" t="s">
        <v>1190</v>
      </c>
      <c r="AB1" s="1067"/>
      <c r="AC1" s="1067" t="s">
        <v>1191</v>
      </c>
      <c r="AD1" s="1067"/>
      <c r="AF1" s="1067" t="s">
        <v>1192</v>
      </c>
      <c r="AH1" s="1067" t="s">
        <v>1193</v>
      </c>
      <c r="AI1" s="1067" t="s">
        <v>1194</v>
      </c>
      <c r="AK1" s="1067" t="s">
        <v>1195</v>
      </c>
      <c r="AM1" s="1067" t="s">
        <v>1196</v>
      </c>
      <c r="AP1" s="1067" t="s">
        <v>1197</v>
      </c>
      <c r="AQ1" s="1067" t="s">
        <v>1198</v>
      </c>
      <c r="AS1" s="1067" t="s">
        <v>1199</v>
      </c>
      <c r="AU1" s="1067" t="s">
        <v>1200</v>
      </c>
      <c r="AW1" s="1067" t="s">
        <v>1201</v>
      </c>
      <c r="AX1" s="1067" t="s">
        <v>1202</v>
      </c>
      <c r="AZ1" s="1152" t="s">
        <v>1203</v>
      </c>
      <c r="BB1" s="1067" t="s">
        <v>1204</v>
      </c>
      <c r="BC1" s="1067"/>
      <c r="BE1" s="1067" t="s">
        <v>1205</v>
      </c>
      <c r="BF1" s="1067" t="s">
        <v>1206</v>
      </c>
      <c r="BH1" s="1069" t="s">
        <v>810</v>
      </c>
      <c r="BI1" s="1070"/>
      <c r="BJ1" s="1071" t="s">
        <v>1207</v>
      </c>
      <c r="BK1" s="1070"/>
      <c r="BL1" s="1072" t="s">
        <v>909</v>
      </c>
      <c r="BM1" s="1070"/>
      <c r="BN1" s="1073" t="s">
        <v>1208</v>
      </c>
      <c r="BS1" s="1427"/>
    </row>
    <row r="2" ht="11.25" customHeight="1">
      <c r="A2" s="1074" t="s">
        <v>1209</v>
      </c>
      <c r="B2" s="1075">
        <v>2000</v>
      </c>
      <c r="C2" s="1075">
        <v>2022</v>
      </c>
      <c r="D2" s="1075" t="s">
        <v>65</v>
      </c>
      <c r="E2" s="1076" t="s">
        <v>1210</v>
      </c>
      <c r="F2" s="1076" t="s">
        <v>1211</v>
      </c>
      <c r="G2" s="1076" t="s">
        <v>1212</v>
      </c>
      <c r="H2" s="1077" t="s">
        <v>54</v>
      </c>
      <c r="I2" s="1076" t="s">
        <v>109</v>
      </c>
      <c r="J2" s="1076" t="s">
        <v>1213</v>
      </c>
      <c r="K2" s="1078" t="s">
        <v>1214</v>
      </c>
      <c r="L2" s="1079"/>
      <c r="M2" s="1078">
        <v>1</v>
      </c>
      <c r="N2" s="1162" t="s">
        <v>1215</v>
      </c>
      <c r="O2" s="1077" t="s">
        <v>1216</v>
      </c>
      <c r="P2" s="1080" t="s">
        <v>38</v>
      </c>
      <c r="Q2" s="1081" t="s">
        <v>1217</v>
      </c>
      <c r="R2" s="143" t="s">
        <v>1218</v>
      </c>
      <c r="S2" s="143" t="s">
        <v>1219</v>
      </c>
      <c r="T2" s="1082" t="s">
        <v>1220</v>
      </c>
      <c r="U2" s="1079" t="s">
        <v>1221</v>
      </c>
      <c r="V2" s="1083">
        <v>1</v>
      </c>
      <c r="W2" s="1084"/>
      <c r="X2" s="1084" t="s">
        <v>1222</v>
      </c>
      <c r="Y2" s="1075" t="s">
        <v>1223</v>
      </c>
      <c r="Z2" s="1085"/>
      <c r="AA2" s="1075" t="s">
        <v>1224</v>
      </c>
      <c r="AB2" s="1086" t="s">
        <v>1224</v>
      </c>
      <c r="AC2" s="1075" t="s">
        <v>1225</v>
      </c>
      <c r="AD2" s="1086" t="s">
        <v>1225</v>
      </c>
      <c r="AF2" s="1077" t="s">
        <v>1221</v>
      </c>
      <c r="AH2" s="1076" t="s">
        <v>1226</v>
      </c>
      <c r="AI2" s="1076" t="s">
        <v>1226</v>
      </c>
      <c r="AK2" s="1076" t="s">
        <v>1227</v>
      </c>
      <c r="AM2" s="1076" t="s">
        <v>1228</v>
      </c>
      <c r="AP2" s="1087" t="s">
        <v>1222</v>
      </c>
      <c r="AQ2" s="1088" t="s">
        <v>1222</v>
      </c>
      <c r="AS2" s="1075" t="s">
        <v>1229</v>
      </c>
      <c r="AU2" s="1120" t="s">
        <v>1230</v>
      </c>
      <c r="AW2" s="1120" t="s">
        <v>1231</v>
      </c>
      <c r="AX2" s="1120" t="s">
        <v>1231</v>
      </c>
      <c r="AZ2" s="1120" t="s">
        <v>1232</v>
      </c>
      <c r="BB2" s="1120" t="s">
        <v>1233</v>
      </c>
      <c r="BC2" s="1120" t="s">
        <v>1234</v>
      </c>
      <c r="BE2" s="1120">
        <v>2000</v>
      </c>
      <c r="BF2" s="1120" t="s">
        <v>1235</v>
      </c>
    </row>
    <row r="3" ht="11.25" customHeight="1">
      <c r="A3" s="1074" t="s">
        <v>1236</v>
      </c>
      <c r="B3" s="1075">
        <v>2001</v>
      </c>
      <c r="C3" s="1075">
        <v>2023</v>
      </c>
      <c r="D3" s="1075" t="s">
        <v>19</v>
      </c>
      <c r="E3" s="1076" t="s">
        <v>1237</v>
      </c>
      <c r="F3" s="1076" t="s">
        <v>1238</v>
      </c>
      <c r="G3" s="1076" t="s">
        <v>1239</v>
      </c>
      <c r="H3" s="1077" t="s">
        <v>1240</v>
      </c>
      <c r="I3" s="1076" t="s">
        <v>110</v>
      </c>
      <c r="J3" s="1076" t="s">
        <v>558</v>
      </c>
      <c r="K3" s="1078" t="s">
        <v>1241</v>
      </c>
      <c r="L3" s="1079">
        <f>_xlfn.IFERROR(MATCH(K3,OFFER_METHOD,0),0)</f>
        <v>0</v>
      </c>
      <c r="M3" s="1078">
        <v>2</v>
      </c>
      <c r="N3" s="1162" t="s">
        <v>1242</v>
      </c>
      <c r="O3" s="1077" t="s">
        <v>1243</v>
      </c>
      <c r="P3" s="1080" t="s">
        <v>1244</v>
      </c>
      <c r="Q3" s="1081" t="s">
        <v>1245</v>
      </c>
      <c r="R3" s="143" t="s">
        <v>1246</v>
      </c>
      <c r="S3" s="143" t="s">
        <v>1247</v>
      </c>
      <c r="T3" s="1082" t="s">
        <v>1248</v>
      </c>
      <c r="U3" s="1079" t="s">
        <v>1249</v>
      </c>
      <c r="V3" s="1083">
        <v>2</v>
      </c>
      <c r="W3" s="1084"/>
      <c r="X3" s="1084" t="s">
        <v>1250</v>
      </c>
      <c r="Y3" s="1075" t="s">
        <v>1223</v>
      </c>
      <c r="Z3" s="1085"/>
      <c r="AA3" s="1075" t="s">
        <v>1251</v>
      </c>
      <c r="AB3" s="1086" t="s">
        <v>1251</v>
      </c>
      <c r="AC3" s="1075" t="s">
        <v>1252</v>
      </c>
      <c r="AD3" s="1086" t="s">
        <v>1252</v>
      </c>
      <c r="AF3" s="1077" t="s">
        <v>1249</v>
      </c>
      <c r="AH3" s="1076" t="s">
        <v>1253</v>
      </c>
      <c r="AI3" s="1076" t="s">
        <v>1254</v>
      </c>
      <c r="AK3" s="1076" t="s">
        <v>1255</v>
      </c>
      <c r="AM3" s="1076" t="s">
        <v>1256</v>
      </c>
      <c r="AP3" s="1087" t="s">
        <v>1257</v>
      </c>
      <c r="AQ3" s="1088" t="s">
        <v>1257</v>
      </c>
      <c r="AS3" s="1075" t="s">
        <v>1258</v>
      </c>
      <c r="AU3" s="1120" t="s">
        <v>1259</v>
      </c>
      <c r="AW3" s="1120" t="s">
        <v>1260</v>
      </c>
      <c r="AX3" s="1120" t="s">
        <v>1260</v>
      </c>
      <c r="AZ3" s="1120" t="s">
        <v>1261</v>
      </c>
      <c r="BB3" s="1120" t="s">
        <v>1262</v>
      </c>
      <c r="BC3" s="1120" t="s">
        <v>1234</v>
      </c>
      <c r="BE3" s="1120">
        <v>2001</v>
      </c>
      <c r="BF3" s="1120" t="s">
        <v>1263</v>
      </c>
      <c r="BH3" s="1067" t="s">
        <v>1264</v>
      </c>
      <c r="BJ3" s="1067" t="s">
        <v>1265</v>
      </c>
      <c r="BL3" s="1067" t="s">
        <v>1266</v>
      </c>
      <c r="BN3" s="1067" t="s">
        <v>1267</v>
      </c>
      <c r="BR3" s="1067" t="s">
        <v>1268</v>
      </c>
      <c r="BS3" s="1428"/>
      <c r="BT3" s="1070"/>
      <c r="BU3" s="1067" t="s">
        <v>1269</v>
      </c>
      <c r="BV3" s="1070"/>
      <c r="BW3" s="1690"/>
      <c r="BX3" s="1692" t="s">
        <v>1270</v>
      </c>
      <c r="CA3" s="1067" t="s">
        <v>1271</v>
      </c>
    </row>
    <row r="4" ht="11.25" customHeight="1">
      <c r="A4" s="1074" t="s">
        <v>1272</v>
      </c>
      <c r="B4" s="1075">
        <v>2002</v>
      </c>
      <c r="C4" s="1075">
        <v>2024</v>
      </c>
      <c r="E4" s="1076" t="s">
        <v>1273</v>
      </c>
      <c r="F4" s="1076" t="s">
        <v>35</v>
      </c>
      <c r="H4" s="1077" t="s">
        <v>1274</v>
      </c>
      <c r="I4" s="1076" t="s">
        <v>89</v>
      </c>
      <c r="J4" s="1076" t="s">
        <v>1275</v>
      </c>
      <c r="K4" s="1078" t="s">
        <v>1276</v>
      </c>
      <c r="L4" s="1079">
        <f>_xlfn.IFERROR(MATCH(K4,OFFER_METHOD,0),0)</f>
        <v>0</v>
      </c>
      <c r="M4" s="1078">
        <v>3</v>
      </c>
      <c r="N4" s="1162" t="s">
        <v>1277</v>
      </c>
      <c r="O4" s="1076" t="s">
        <v>1278</v>
      </c>
      <c r="Q4" s="1081" t="s">
        <v>1279</v>
      </c>
      <c r="R4" s="143" t="s">
        <v>1280</v>
      </c>
      <c r="S4" s="143" t="s">
        <v>1281</v>
      </c>
      <c r="T4" s="1082" t="s">
        <v>1282</v>
      </c>
      <c r="U4" s="1079" t="s">
        <v>1283</v>
      </c>
      <c r="V4" s="1083">
        <v>3</v>
      </c>
      <c r="W4" s="1084"/>
      <c r="X4" s="1084" t="s">
        <v>1284</v>
      </c>
      <c r="Y4" s="1075" t="s">
        <v>1223</v>
      </c>
      <c r="Z4" s="1091"/>
      <c r="AC4" s="1075" t="s">
        <v>1285</v>
      </c>
      <c r="AD4" s="1086" t="s">
        <v>1285</v>
      </c>
      <c r="AF4" s="1077" t="s">
        <v>1283</v>
      </c>
      <c r="AH4" s="1077" t="s">
        <v>1286</v>
      </c>
      <c r="AK4" s="1076" t="s">
        <v>1287</v>
      </c>
      <c r="AM4" s="1076" t="s">
        <v>1288</v>
      </c>
      <c r="AP4" s="1087" t="s">
        <v>1250</v>
      </c>
      <c r="AQ4" s="1088" t="s">
        <v>1250</v>
      </c>
      <c r="AS4" s="1075" t="s">
        <v>1289</v>
      </c>
      <c r="AU4" s="1120" t="s">
        <v>1290</v>
      </c>
      <c r="AW4" s="1120" t="s">
        <v>1291</v>
      </c>
      <c r="AX4" s="1120" t="s">
        <v>1291</v>
      </c>
      <c r="AZ4" s="1120" t="s">
        <v>1292</v>
      </c>
      <c r="BB4" s="1120" t="s">
        <v>1293</v>
      </c>
      <c r="BC4" s="1120" t="s">
        <v>1294</v>
      </c>
      <c r="BE4" s="1120">
        <v>2002</v>
      </c>
      <c r="BF4" s="1120" t="s">
        <v>1295</v>
      </c>
      <c r="BH4" s="1068" t="s">
        <v>1296</v>
      </c>
      <c r="BJ4" s="1068" t="s">
        <v>1296</v>
      </c>
      <c r="BL4" s="1068" t="s">
        <v>1296</v>
      </c>
      <c r="BN4" s="1068" t="s">
        <v>1296</v>
      </c>
      <c r="BQ4" s="1432" t="s">
        <v>1297</v>
      </c>
      <c r="BR4" s="1159" t="s">
        <v>1298</v>
      </c>
      <c r="BS4" s="274"/>
      <c r="BT4" s="1432" t="s">
        <v>1299</v>
      </c>
      <c r="BU4" s="1159" t="s">
        <v>1300</v>
      </c>
      <c r="BV4" s="1070"/>
      <c r="BW4" s="1697" t="s">
        <v>1301</v>
      </c>
      <c r="BX4" s="1691" t="s">
        <v>1302</v>
      </c>
      <c r="BZ4" s="1432" t="s">
        <v>1303</v>
      </c>
      <c r="CA4" s="1159" t="s">
        <v>1304</v>
      </c>
    </row>
    <row r="5" ht="11.25" customHeight="1">
      <c r="A5" s="1074" t="s">
        <v>1305</v>
      </c>
      <c r="B5" s="1075">
        <v>2003</v>
      </c>
      <c r="C5" s="1075">
        <v>2025</v>
      </c>
      <c r="E5" s="1076" t="s">
        <v>1306</v>
      </c>
      <c r="F5" s="1076" t="s">
        <v>1307</v>
      </c>
      <c r="H5" s="1077" t="s">
        <v>1308</v>
      </c>
      <c r="I5" s="1076" t="s">
        <v>90</v>
      </c>
      <c r="K5" s="1078" t="s">
        <v>1309</v>
      </c>
      <c r="L5" s="1079">
        <f>_xlfn.IFERROR(MATCH(K5,OFFER_METHOD,0),0)</f>
        <v>0</v>
      </c>
      <c r="M5" s="1078">
        <v>4</v>
      </c>
      <c r="N5" s="1092" t="s">
        <v>1310</v>
      </c>
      <c r="O5" s="1076" t="s">
        <v>1311</v>
      </c>
      <c r="Q5" s="1081" t="s">
        <v>1312</v>
      </c>
      <c r="R5" s="143" t="s">
        <v>1313</v>
      </c>
      <c r="T5" s="1077" t="s">
        <v>1314</v>
      </c>
      <c r="U5" s="1079" t="s">
        <v>1315</v>
      </c>
      <c r="V5" s="1083">
        <v>4</v>
      </c>
      <c r="W5" s="1084"/>
      <c r="X5" s="1084" t="s">
        <v>170</v>
      </c>
      <c r="Y5" s="1075" t="s">
        <v>1316</v>
      </c>
      <c r="Z5" s="1091">
        <v>1</v>
      </c>
      <c r="AF5" s="1077" t="s">
        <v>1317</v>
      </c>
      <c r="AH5" s="1076" t="s">
        <v>1318</v>
      </c>
      <c r="AK5" s="1076" t="s">
        <v>1319</v>
      </c>
      <c r="AM5" s="1076" t="s">
        <v>1320</v>
      </c>
      <c r="AP5" s="1087" t="s">
        <v>170</v>
      </c>
      <c r="AQ5" s="1088" t="s">
        <v>170</v>
      </c>
      <c r="AU5" s="1120" t="s">
        <v>1321</v>
      </c>
      <c r="AW5" s="1120" t="s">
        <v>1322</v>
      </c>
      <c r="AX5" s="1120" t="s">
        <v>1322</v>
      </c>
      <c r="AZ5" s="1120" t="s">
        <v>1323</v>
      </c>
      <c r="BB5" s="1120" t="s">
        <v>1324</v>
      </c>
      <c r="BC5" s="1120" t="s">
        <v>1325</v>
      </c>
      <c r="BE5" s="1120">
        <v>2003</v>
      </c>
      <c r="BF5" s="1120" t="s">
        <v>1326</v>
      </c>
      <c r="BH5" s="1068" t="s">
        <v>1327</v>
      </c>
      <c r="BJ5" s="1068" t="s">
        <v>1327</v>
      </c>
      <c r="BL5" s="1068" t="s">
        <v>1327</v>
      </c>
      <c r="BN5" s="1068" t="s">
        <v>1328</v>
      </c>
      <c r="BQ5" s="1281">
        <v>4213775</v>
      </c>
      <c r="BR5" s="1068" t="s">
        <v>1222</v>
      </c>
      <c r="BS5" s="1429"/>
      <c r="BT5" s="1281">
        <v>64236871</v>
      </c>
      <c r="BU5" s="1068" t="s">
        <v>231</v>
      </c>
      <c r="BV5" s="1070"/>
      <c r="BW5" s="1695">
        <v>4213767</v>
      </c>
      <c r="BX5" s="1693" t="s">
        <v>1329</v>
      </c>
      <c r="BZ5" s="1281">
        <v>64237509</v>
      </c>
      <c r="CA5" s="1295" t="s">
        <v>1330</v>
      </c>
    </row>
    <row r="6" ht="11.25" customHeight="1">
      <c r="A6" s="1074" t="s">
        <v>1331</v>
      </c>
      <c r="B6" s="1075">
        <v>2004</v>
      </c>
      <c r="C6" s="1075">
        <v>2026</v>
      </c>
      <c r="E6" s="1076" t="s">
        <v>1332</v>
      </c>
      <c r="F6" s="1093"/>
      <c r="H6" s="1077" t="s">
        <v>1333</v>
      </c>
      <c r="I6" s="1076" t="s">
        <v>111</v>
      </c>
      <c r="J6" s="1067" t="s">
        <v>1334</v>
      </c>
      <c r="L6" s="1079">
        <f>SUM(kind_of_control_method_filter)</f>
        <v>0</v>
      </c>
      <c r="N6" s="1092" t="s">
        <v>1335</v>
      </c>
      <c r="O6" s="1076" t="s">
        <v>1336</v>
      </c>
      <c r="R6" s="143" t="s">
        <v>1217</v>
      </c>
      <c r="T6" s="1077" t="s">
        <v>1337</v>
      </c>
      <c r="U6" s="1079" t="s">
        <v>1317</v>
      </c>
      <c r="V6" s="1083">
        <v>5</v>
      </c>
      <c r="W6" s="1084"/>
      <c r="X6" s="1075" t="s">
        <v>176</v>
      </c>
      <c r="Y6" s="1075" t="s">
        <v>1338</v>
      </c>
      <c r="Z6" s="1091"/>
      <c r="AA6" s="1094"/>
      <c r="AH6" s="1076" t="s">
        <v>1339</v>
      </c>
      <c r="AK6" s="1076" t="s">
        <v>1340</v>
      </c>
      <c r="AM6" s="1076" t="s">
        <v>1341</v>
      </c>
      <c r="AP6" s="1087" t="s">
        <v>176</v>
      </c>
      <c r="AQ6" s="1088" t="s">
        <v>176</v>
      </c>
      <c r="AU6" s="1120" t="s">
        <v>1342</v>
      </c>
      <c r="AW6" s="1120" t="s">
        <v>1343</v>
      </c>
      <c r="AX6" s="1120" t="s">
        <v>1343</v>
      </c>
      <c r="BB6" s="1120" t="s">
        <v>1344</v>
      </c>
      <c r="BC6" s="1120" t="s">
        <v>1325</v>
      </c>
      <c r="BE6" s="1120">
        <v>2004</v>
      </c>
      <c r="BF6" s="1120" t="s">
        <v>1345</v>
      </c>
      <c r="BH6" s="1068" t="s">
        <v>1346</v>
      </c>
      <c r="BJ6" s="1068" t="s">
        <v>1347</v>
      </c>
      <c r="BL6" s="1068" t="s">
        <v>1347</v>
      </c>
      <c r="BN6" s="1068" t="s">
        <v>1348</v>
      </c>
      <c r="BQ6" s="1281">
        <v>4213784</v>
      </c>
      <c r="BR6" s="1295" t="s">
        <v>1257</v>
      </c>
      <c r="BS6" s="1430"/>
      <c r="BT6" s="1281">
        <v>64236872</v>
      </c>
      <c r="BU6" s="1068" t="s">
        <v>236</v>
      </c>
      <c r="BV6" s="1070"/>
      <c r="BW6" s="1695">
        <v>4213768</v>
      </c>
      <c r="BX6" s="1693" t="s">
        <v>256</v>
      </c>
      <c r="BZ6" s="1281">
        <v>64237510</v>
      </c>
      <c r="CA6" s="1068" t="s">
        <v>1349</v>
      </c>
    </row>
    <row r="7" ht="11.25" customHeight="1">
      <c r="A7" s="1074" t="s">
        <v>1350</v>
      </c>
      <c r="B7" s="1075">
        <v>2005</v>
      </c>
      <c r="E7" s="1076" t="s">
        <v>1351</v>
      </c>
      <c r="F7" s="1093"/>
      <c r="H7" s="1077" t="s">
        <v>1352</v>
      </c>
      <c r="I7" s="1076" t="s">
        <v>91</v>
      </c>
      <c r="J7" s="1076" t="s">
        <v>1353</v>
      </c>
      <c r="N7" s="1096" t="s">
        <v>1354</v>
      </c>
      <c r="O7" s="1076" t="s">
        <v>1355</v>
      </c>
      <c r="U7" s="1079" t="s">
        <v>19</v>
      </c>
      <c r="V7" s="370" t="s">
        <v>91</v>
      </c>
      <c r="W7" s="1084"/>
      <c r="X7" s="1075" t="s">
        <v>182</v>
      </c>
      <c r="Y7" s="1075" t="s">
        <v>1316</v>
      </c>
      <c r="Z7" s="1091"/>
      <c r="AA7" s="1094"/>
      <c r="AH7" s="1076" t="s">
        <v>1356</v>
      </c>
      <c r="AK7" s="1076" t="s">
        <v>1357</v>
      </c>
      <c r="AM7" s="1076" t="s">
        <v>1358</v>
      </c>
      <c r="AP7" s="1087" t="s">
        <v>182</v>
      </c>
      <c r="AQ7" s="1088" t="s">
        <v>182</v>
      </c>
      <c r="AU7" s="1120" t="s">
        <v>1359</v>
      </c>
      <c r="AW7" s="1120" t="s">
        <v>1360</v>
      </c>
      <c r="AX7" s="1120" t="s">
        <v>1360</v>
      </c>
      <c r="AZ7" s="1067" t="s">
        <v>1361</v>
      </c>
      <c r="BB7" s="1120" t="s">
        <v>1362</v>
      </c>
      <c r="BC7" s="1120" t="s">
        <v>1325</v>
      </c>
      <c r="BE7" s="1120">
        <v>2005</v>
      </c>
      <c r="BF7" s="1120" t="s">
        <v>1363</v>
      </c>
      <c r="BH7" s="1068" t="s">
        <v>1364</v>
      </c>
      <c r="BJ7" s="1068" t="s">
        <v>1346</v>
      </c>
      <c r="BL7" s="1068" t="s">
        <v>1346</v>
      </c>
      <c r="BN7" s="1068" t="s">
        <v>1365</v>
      </c>
      <c r="BQ7" s="1281">
        <v>4213781</v>
      </c>
      <c r="BR7" s="1068" t="s">
        <v>1250</v>
      </c>
      <c r="BS7" s="1429"/>
      <c r="BT7" s="1281">
        <v>64236873</v>
      </c>
      <c r="BU7" s="1068" t="s">
        <v>241</v>
      </c>
      <c r="BV7" s="1070"/>
      <c r="BW7" s="1695">
        <v>4213769</v>
      </c>
      <c r="BX7" s="1693" t="s">
        <v>1366</v>
      </c>
      <c r="BZ7" s="1281">
        <v>64237511</v>
      </c>
      <c r="CA7" s="1068" t="s">
        <v>271</v>
      </c>
    </row>
    <row r="8" ht="11.25" customHeight="1">
      <c r="A8" s="1074" t="s">
        <v>1367</v>
      </c>
      <c r="B8" s="1075">
        <v>2006</v>
      </c>
      <c r="E8" s="1076" t="s">
        <v>1368</v>
      </c>
      <c r="F8" s="1093"/>
      <c r="H8" s="1077" t="s">
        <v>1369</v>
      </c>
      <c r="I8" s="1076" t="s">
        <v>92</v>
      </c>
      <c r="J8" s="1076" t="s">
        <v>1370</v>
      </c>
      <c r="N8" s="1163" t="s">
        <v>1371</v>
      </c>
      <c r="O8" s="1076" t="s">
        <v>1372</v>
      </c>
      <c r="V8" s="370" t="s">
        <v>92</v>
      </c>
      <c r="W8" s="1084"/>
      <c r="X8" s="1075" t="s">
        <v>188</v>
      </c>
      <c r="Y8" s="1075" t="s">
        <v>1316</v>
      </c>
      <c r="Z8" s="1091"/>
      <c r="AA8" s="1094"/>
      <c r="AK8" s="1076" t="s">
        <v>1373</v>
      </c>
      <c r="AP8" s="1087" t="s">
        <v>188</v>
      </c>
      <c r="AQ8" s="1088" t="s">
        <v>188</v>
      </c>
      <c r="AU8" s="1120" t="s">
        <v>1374</v>
      </c>
      <c r="AW8" s="1120" t="s">
        <v>1375</v>
      </c>
      <c r="AX8" s="1120" t="s">
        <v>1375</v>
      </c>
      <c r="AZ8" s="1120" t="s">
        <v>1376</v>
      </c>
      <c r="BB8" s="1120" t="s">
        <v>1377</v>
      </c>
      <c r="BC8" s="1120" t="s">
        <v>1325</v>
      </c>
      <c r="BE8" s="1120">
        <v>2006</v>
      </c>
      <c r="BF8" s="1120" t="s">
        <v>1378</v>
      </c>
      <c r="BH8" s="1068" t="s">
        <v>1379</v>
      </c>
      <c r="BJ8" s="1068" t="s">
        <v>1380</v>
      </c>
      <c r="BL8" s="1068" t="s">
        <v>1380</v>
      </c>
      <c r="BN8" s="1068" t="s">
        <v>1381</v>
      </c>
      <c r="BQ8" s="1281">
        <v>4213776</v>
      </c>
      <c r="BR8" s="1068" t="s">
        <v>170</v>
      </c>
      <c r="BS8" s="1429"/>
      <c r="BT8" s="1281">
        <v>64236874</v>
      </c>
      <c r="BU8" s="1295" t="s">
        <v>1382</v>
      </c>
      <c r="BV8" s="1070"/>
      <c r="BW8" s="1695">
        <v>4213770</v>
      </c>
      <c r="BX8" s="1696" t="s">
        <v>1383</v>
      </c>
      <c r="BZ8" s="1281">
        <v>64237512</v>
      </c>
      <c r="CA8" s="1068" t="s">
        <v>266</v>
      </c>
    </row>
    <row r="9" ht="11.25" customHeight="1">
      <c r="A9" s="1074" t="s">
        <v>1384</v>
      </c>
      <c r="B9" s="1075">
        <v>2007</v>
      </c>
      <c r="E9" s="1076" t="s">
        <v>1385</v>
      </c>
      <c r="F9" s="1093"/>
      <c r="G9" s="1067" t="s">
        <v>1386</v>
      </c>
      <c r="H9" s="1067" t="s">
        <v>1387</v>
      </c>
      <c r="I9" s="1076" t="s">
        <v>112</v>
      </c>
      <c r="O9" s="1076" t="s">
        <v>1388</v>
      </c>
      <c r="V9" s="370" t="s">
        <v>112</v>
      </c>
      <c r="W9" s="1084"/>
      <c r="X9" s="1075" t="s">
        <v>194</v>
      </c>
      <c r="Y9" s="1075" t="s">
        <v>1223</v>
      </c>
      <c r="Z9" s="1091">
        <v>1</v>
      </c>
      <c r="AA9" s="1094"/>
      <c r="AK9" s="1076" t="s">
        <v>1389</v>
      </c>
      <c r="AP9" s="1087" t="s">
        <v>1390</v>
      </c>
      <c r="AQ9" s="1088" t="s">
        <v>1390</v>
      </c>
      <c r="AW9" s="1120" t="s">
        <v>1391</v>
      </c>
      <c r="AX9" s="1120" t="s">
        <v>1391</v>
      </c>
      <c r="AZ9" s="1120" t="s">
        <v>1392</v>
      </c>
      <c r="BB9" s="1120" t="s">
        <v>1393</v>
      </c>
      <c r="BC9" s="1120" t="s">
        <v>1325</v>
      </c>
      <c r="BE9" s="1120">
        <v>2007</v>
      </c>
      <c r="BF9" s="1120" t="s">
        <v>1394</v>
      </c>
      <c r="BH9" s="1068" t="s">
        <v>1395</v>
      </c>
      <c r="BJ9" s="1068" t="s">
        <v>1396</v>
      </c>
      <c r="BL9" s="1068" t="s">
        <v>1396</v>
      </c>
      <c r="BN9" s="1068" t="s">
        <v>1397</v>
      </c>
      <c r="BQ9" s="1281">
        <v>4213777</v>
      </c>
      <c r="BR9" s="1068" t="s">
        <v>176</v>
      </c>
      <c r="BS9" s="1429"/>
      <c r="BT9" s="1281">
        <v>64236875</v>
      </c>
      <c r="BU9" s="1068" t="s">
        <v>246</v>
      </c>
      <c r="BV9" s="1070"/>
      <c r="BW9" s="1690"/>
      <c r="BX9" s="1690"/>
    </row>
    <row r="10" ht="11.25" customHeight="1">
      <c r="A10" s="1074" t="s">
        <v>1398</v>
      </c>
      <c r="B10" s="1075">
        <v>2008</v>
      </c>
      <c r="E10" s="1076" t="s">
        <v>1399</v>
      </c>
      <c r="F10" s="1093"/>
      <c r="G10" s="1076" t="s">
        <v>1400</v>
      </c>
      <c r="H10" s="1076" t="s">
        <v>1401</v>
      </c>
      <c r="I10" s="1076" t="s">
        <v>152</v>
      </c>
      <c r="J10" s="1067" t="s">
        <v>1402</v>
      </c>
      <c r="K10" s="1067" t="s">
        <v>1403</v>
      </c>
      <c r="O10" s="1076" t="s">
        <v>1404</v>
      </c>
      <c r="V10" s="371" t="s">
        <v>152</v>
      </c>
      <c r="W10" s="1097"/>
      <c r="X10" s="1097" t="s">
        <v>1405</v>
      </c>
      <c r="Y10" s="1098" t="s">
        <v>1406</v>
      </c>
      <c r="Z10" s="1091"/>
      <c r="AP10" s="1087" t="s">
        <v>1405</v>
      </c>
      <c r="AQ10" s="1088" t="s">
        <v>1405</v>
      </c>
      <c r="AW10" s="1120" t="s">
        <v>1407</v>
      </c>
      <c r="AX10" s="1120" t="s">
        <v>1407</v>
      </c>
      <c r="AZ10" s="1120" t="s">
        <v>1408</v>
      </c>
      <c r="BB10" s="1120" t="s">
        <v>1409</v>
      </c>
      <c r="BC10" s="1120" t="s">
        <v>1325</v>
      </c>
      <c r="BE10" s="1120">
        <v>2008</v>
      </c>
      <c r="BF10" s="1120" t="s">
        <v>1410</v>
      </c>
      <c r="BH10" s="1068" t="s">
        <v>1411</v>
      </c>
      <c r="BJ10" s="1068" t="s">
        <v>1412</v>
      </c>
      <c r="BL10" s="1068" t="s">
        <v>1412</v>
      </c>
      <c r="BN10" s="1068" t="s">
        <v>1413</v>
      </c>
      <c r="BQ10" s="1281">
        <v>4213778</v>
      </c>
      <c r="BR10" s="1068" t="s">
        <v>182</v>
      </c>
      <c r="BS10" s="1429"/>
      <c r="BT10" s="1281">
        <v>64236876</v>
      </c>
      <c r="BU10" s="1068" t="s">
        <v>226</v>
      </c>
      <c r="BV10" s="1070"/>
      <c r="BW10" s="1690"/>
      <c r="BX10" s="1690"/>
    </row>
    <row r="11" ht="11.25" customHeight="1">
      <c r="A11" s="1074" t="s">
        <v>1414</v>
      </c>
      <c r="B11" s="1075">
        <v>2009</v>
      </c>
      <c r="E11" s="1076" t="s">
        <v>1415</v>
      </c>
      <c r="F11" s="1093"/>
      <c r="G11" s="1076" t="s">
        <v>1416</v>
      </c>
      <c r="H11" s="1076" t="s">
        <v>1417</v>
      </c>
      <c r="I11" s="1076" t="s">
        <v>153</v>
      </c>
      <c r="J11" s="1077" t="s">
        <v>1418</v>
      </c>
      <c r="K11" s="1099" t="s">
        <v>1419</v>
      </c>
      <c r="O11" s="1077" t="s">
        <v>1420</v>
      </c>
      <c r="V11" s="370" t="s">
        <v>153</v>
      </c>
      <c r="W11" s="275"/>
      <c r="X11" s="1084" t="s">
        <v>1390</v>
      </c>
      <c r="Y11" s="1075" t="s">
        <v>1421</v>
      </c>
      <c r="Z11" s="1091"/>
      <c r="AP11" s="1087" t="s">
        <v>194</v>
      </c>
      <c r="AQ11" s="1089" t="s">
        <v>194</v>
      </c>
      <c r="AW11" s="1120" t="s">
        <v>1422</v>
      </c>
      <c r="AX11" s="1120" t="s">
        <v>1422</v>
      </c>
      <c r="AZ11" s="1120" t="s">
        <v>1423</v>
      </c>
      <c r="BB11" s="1120" t="s">
        <v>1424</v>
      </c>
      <c r="BC11" s="1120" t="s">
        <v>1325</v>
      </c>
      <c r="BE11" s="1120">
        <v>2009</v>
      </c>
      <c r="BF11" s="1120" t="s">
        <v>1425</v>
      </c>
      <c r="BH11" s="1068" t="s">
        <v>1426</v>
      </c>
      <c r="BJ11" s="1068" t="s">
        <v>1395</v>
      </c>
      <c r="BL11" s="1068" t="s">
        <v>1395</v>
      </c>
      <c r="BN11" s="1068" t="s">
        <v>1427</v>
      </c>
      <c r="BQ11" s="1281">
        <v>4213780</v>
      </c>
      <c r="BR11" s="1068" t="s">
        <v>188</v>
      </c>
      <c r="BS11" s="1429"/>
      <c r="BW11" s="1690"/>
      <c r="BX11" s="1690"/>
    </row>
    <row r="12" ht="11.25" customHeight="1">
      <c r="A12" s="1074" t="s">
        <v>1428</v>
      </c>
      <c r="B12" s="1075">
        <v>2010</v>
      </c>
      <c r="E12" s="1076" t="s">
        <v>1429</v>
      </c>
      <c r="F12" s="1093"/>
      <c r="G12" s="1076" t="s">
        <v>1417</v>
      </c>
      <c r="I12" s="1076" t="s">
        <v>154</v>
      </c>
      <c r="J12" s="1077" t="s">
        <v>1430</v>
      </c>
      <c r="K12" s="1099" t="s">
        <v>1431</v>
      </c>
      <c r="O12" s="1077" t="s">
        <v>1217</v>
      </c>
      <c r="V12" s="370" t="s">
        <v>154</v>
      </c>
      <c r="W12" s="1089"/>
      <c r="X12" s="1084" t="s">
        <v>1432</v>
      </c>
      <c r="Y12" s="1075" t="s">
        <v>1223</v>
      </c>
      <c r="AP12" s="1087"/>
      <c r="AW12" s="1120" t="s">
        <v>153</v>
      </c>
      <c r="AX12" s="1120" t="s">
        <v>153</v>
      </c>
      <c r="AZ12" s="1120" t="s">
        <v>1433</v>
      </c>
      <c r="BB12" s="1120" t="s">
        <v>1434</v>
      </c>
      <c r="BC12" s="1120" t="s">
        <v>1325</v>
      </c>
      <c r="BE12" s="1120">
        <v>2010</v>
      </c>
      <c r="BF12" s="1120" t="s">
        <v>1435</v>
      </c>
      <c r="BH12" s="1068" t="s">
        <v>1436</v>
      </c>
      <c r="BJ12" s="1068" t="s">
        <v>1437</v>
      </c>
      <c r="BL12" s="1068" t="s">
        <v>1437</v>
      </c>
      <c r="BN12" s="1068" t="s">
        <v>1438</v>
      </c>
      <c r="BQ12" s="1281">
        <v>4213779</v>
      </c>
      <c r="BR12" s="1068" t="s">
        <v>1390</v>
      </c>
      <c r="BS12" s="1429"/>
      <c r="BT12" s="1070"/>
      <c r="BU12" s="1070"/>
      <c r="BV12" s="1070"/>
      <c r="BW12" s="1690"/>
      <c r="BX12" s="1690"/>
    </row>
    <row r="13" ht="11.25" customHeight="1">
      <c r="A13" s="1074" t="s">
        <v>1439</v>
      </c>
      <c r="B13" s="1075">
        <v>2011</v>
      </c>
      <c r="E13" s="1076" t="s">
        <v>1440</v>
      </c>
      <c r="F13" s="1093"/>
      <c r="I13" s="1076" t="s">
        <v>155</v>
      </c>
      <c r="K13" s="1099" t="s">
        <v>1389</v>
      </c>
      <c r="V13" s="370" t="s">
        <v>155</v>
      </c>
      <c r="W13" s="1089"/>
      <c r="X13" s="1089"/>
      <c r="Y13" s="1089"/>
      <c r="AW13" s="1120" t="s">
        <v>154</v>
      </c>
      <c r="AX13" s="1120" t="s">
        <v>154</v>
      </c>
      <c r="BB13" s="1120" t="s">
        <v>1441</v>
      </c>
      <c r="BC13" s="1120" t="s">
        <v>1442</v>
      </c>
      <c r="BE13" s="1120">
        <v>2011</v>
      </c>
      <c r="BF13" s="1120" t="s">
        <v>1443</v>
      </c>
      <c r="BH13" s="1068" t="s">
        <v>1444</v>
      </c>
      <c r="BJ13" s="1068" t="s">
        <v>1426</v>
      </c>
      <c r="BL13" s="1068" t="s">
        <v>1426</v>
      </c>
      <c r="BN13" s="1068" t="s">
        <v>1445</v>
      </c>
      <c r="BQ13" s="1281">
        <v>4213783</v>
      </c>
      <c r="BR13" s="1068" t="s">
        <v>1405</v>
      </c>
      <c r="BS13" s="1429"/>
      <c r="BT13" s="1070"/>
      <c r="BU13" s="1070"/>
      <c r="BV13" s="1070"/>
      <c r="BW13" s="1694"/>
      <c r="BX13" s="1690"/>
    </row>
    <row r="14" ht="11.25" customHeight="1">
      <c r="A14" s="1074" t="s">
        <v>1446</v>
      </c>
      <c r="B14" s="1075">
        <v>2012</v>
      </c>
      <c r="I14" s="1076" t="s">
        <v>156</v>
      </c>
      <c r="J14" s="1067" t="s">
        <v>1447</v>
      </c>
      <c r="N14" s="1067" t="s">
        <v>1448</v>
      </c>
      <c r="V14" s="1083">
        <v>13</v>
      </c>
      <c r="W14" s="1084"/>
      <c r="X14" s="1084" t="s">
        <v>1257</v>
      </c>
      <c r="Y14" s="1075" t="s">
        <v>1223</v>
      </c>
      <c r="AW14" s="1120" t="s">
        <v>155</v>
      </c>
      <c r="AX14" s="1120" t="s">
        <v>155</v>
      </c>
      <c r="AZ14" s="1067" t="s">
        <v>1449</v>
      </c>
      <c r="BB14" s="1120" t="s">
        <v>1450</v>
      </c>
      <c r="BC14" s="1120" t="s">
        <v>1442</v>
      </c>
      <c r="BE14" s="1120">
        <v>2012</v>
      </c>
      <c r="BH14" s="1068" t="s">
        <v>1365</v>
      </c>
      <c r="BJ14" s="1217" t="s">
        <v>1451</v>
      </c>
      <c r="BL14" s="1217" t="s">
        <v>1451</v>
      </c>
      <c r="BN14" s="1068" t="s">
        <v>1452</v>
      </c>
      <c r="BQ14" s="1281">
        <v>4213782</v>
      </c>
      <c r="BR14" s="1068" t="s">
        <v>194</v>
      </c>
      <c r="BS14" s="1429"/>
      <c r="BT14" s="1070"/>
      <c r="BU14" s="1070"/>
      <c r="BV14" s="1070"/>
      <c r="BW14" s="1694"/>
      <c r="BX14" s="1690"/>
    </row>
    <row r="15" ht="19.5" customHeight="1">
      <c r="A15" s="1074" t="s">
        <v>1453</v>
      </c>
      <c r="B15" s="1075">
        <v>2013</v>
      </c>
      <c r="E15" s="1698" t="s">
        <v>1454</v>
      </c>
      <c r="G15" s="1067" t="s">
        <v>1455</v>
      </c>
      <c r="H15" s="1067" t="s">
        <v>1456</v>
      </c>
      <c r="I15" s="1078" t="s">
        <v>157</v>
      </c>
      <c r="J15" s="1089" t="s">
        <v>585</v>
      </c>
      <c r="N15" s="1158" t="s">
        <v>1457</v>
      </c>
      <c r="X15" s="1087"/>
      <c r="AW15" s="1120" t="s">
        <v>156</v>
      </c>
      <c r="AX15" s="1120" t="s">
        <v>156</v>
      </c>
      <c r="AZ15" s="1120" t="s">
        <v>1376</v>
      </c>
      <c r="BB15" s="1120" t="s">
        <v>1458</v>
      </c>
      <c r="BC15" s="1120" t="s">
        <v>1442</v>
      </c>
      <c r="BE15" s="1120">
        <v>2013</v>
      </c>
      <c r="BH15" s="1068" t="s">
        <v>1381</v>
      </c>
      <c r="BJ15" s="1217" t="s">
        <v>1459</v>
      </c>
      <c r="BL15" s="1217" t="s">
        <v>1459</v>
      </c>
      <c r="BN15" s="1068" t="s">
        <v>1460</v>
      </c>
      <c r="BR15" s="1070"/>
      <c r="BS15" s="1431"/>
      <c r="BT15" s="1070"/>
      <c r="BU15" s="1070"/>
      <c r="BV15" s="1070"/>
      <c r="BW15" s="1694"/>
      <c r="BX15" s="1690"/>
    </row>
    <row r="16" ht="21" customHeight="1">
      <c r="A16" s="1870" t="s">
        <v>1461</v>
      </c>
      <c r="B16" s="1075">
        <v>2014</v>
      </c>
      <c r="E16" s="1699" t="s">
        <v>1462</v>
      </c>
      <c r="G16" s="1076" t="s">
        <v>1463</v>
      </c>
      <c r="H16" s="1076" t="s">
        <v>1464</v>
      </c>
      <c r="I16" s="1078" t="s">
        <v>1465</v>
      </c>
      <c r="J16" s="1089" t="s">
        <v>558</v>
      </c>
      <c r="N16" s="1158" t="s">
        <v>1466</v>
      </c>
      <c r="AW16" s="1120" t="s">
        <v>157</v>
      </c>
      <c r="AX16" s="1120" t="s">
        <v>157</v>
      </c>
      <c r="AZ16" s="1120" t="s">
        <v>1392</v>
      </c>
      <c r="BB16" s="1120" t="s">
        <v>1467</v>
      </c>
      <c r="BC16" s="1120" t="s">
        <v>1442</v>
      </c>
      <c r="BE16" s="1120">
        <v>2014</v>
      </c>
      <c r="BH16" s="1068" t="s">
        <v>1397</v>
      </c>
      <c r="BJ16" s="1217" t="s">
        <v>1468</v>
      </c>
      <c r="BL16" s="1217" t="s">
        <v>1468</v>
      </c>
      <c r="BN16" s="1068" t="s">
        <v>1469</v>
      </c>
      <c r="BR16" s="1070"/>
      <c r="BS16" s="1431"/>
      <c r="BT16" s="1070"/>
      <c r="BU16" s="1070"/>
      <c r="BV16" s="1070"/>
      <c r="BW16" s="1694"/>
      <c r="BX16" s="1690"/>
    </row>
    <row r="17" ht="21" customHeight="1">
      <c r="A17" s="1074" t="s">
        <v>1470</v>
      </c>
      <c r="B17" s="1075">
        <v>2015</v>
      </c>
      <c r="G17" s="1076" t="s">
        <v>1417</v>
      </c>
      <c r="H17" s="1076" t="s">
        <v>1417</v>
      </c>
      <c r="I17" s="1076" t="s">
        <v>1471</v>
      </c>
      <c r="N17" s="1158" t="s">
        <v>1472</v>
      </c>
      <c r="X17" s="1087"/>
      <c r="AW17" s="1120" t="s">
        <v>1465</v>
      </c>
      <c r="AX17" s="1120" t="s">
        <v>1465</v>
      </c>
      <c r="AZ17" s="1120" t="s">
        <v>1473</v>
      </c>
      <c r="BB17" s="1120" t="s">
        <v>1474</v>
      </c>
      <c r="BC17" s="1120" t="s">
        <v>1325</v>
      </c>
      <c r="BE17" s="1120">
        <v>2015</v>
      </c>
      <c r="BH17" s="1068" t="s">
        <v>1413</v>
      </c>
      <c r="BJ17" s="1217" t="s">
        <v>1475</v>
      </c>
      <c r="BL17" s="1217" t="s">
        <v>1475</v>
      </c>
      <c r="BN17" s="1068" t="s">
        <v>1476</v>
      </c>
      <c r="BR17" s="1067" t="s">
        <v>1268</v>
      </c>
      <c r="BS17" s="1428"/>
      <c r="BU17" s="1067" t="s">
        <v>1477</v>
      </c>
      <c r="BV17" s="1070"/>
      <c r="BW17" s="1690"/>
      <c r="BX17" s="1692" t="s">
        <v>1478</v>
      </c>
      <c r="CA17" s="1067" t="s">
        <v>1479</v>
      </c>
      <c r="CD17" s="1067" t="s">
        <v>1480</v>
      </c>
    </row>
    <row r="18" ht="21" customHeight="1">
      <c r="A18" s="1074" t="s">
        <v>1481</v>
      </c>
      <c r="B18" s="1075">
        <v>2016</v>
      </c>
      <c r="E18" s="2005" t="s">
        <v>1482</v>
      </c>
      <c r="I18" s="1076" t="s">
        <v>1483</v>
      </c>
      <c r="N18" s="1158" t="s">
        <v>1484</v>
      </c>
      <c r="X18" s="1087"/>
      <c r="AW18" s="1120" t="s">
        <v>1471</v>
      </c>
      <c r="AX18" s="1120" t="s">
        <v>1471</v>
      </c>
      <c r="BB18" s="1120" t="s">
        <v>1485</v>
      </c>
      <c r="BC18" s="1120" t="s">
        <v>1325</v>
      </c>
      <c r="BE18" s="1120">
        <v>2016</v>
      </c>
      <c r="BH18" s="1068" t="s">
        <v>1427</v>
      </c>
      <c r="BJ18" s="1217" t="s">
        <v>1486</v>
      </c>
      <c r="BL18" s="1217" t="s">
        <v>1486</v>
      </c>
      <c r="BN18" s="1068" t="s">
        <v>1487</v>
      </c>
      <c r="BQ18" s="1432" t="s">
        <v>1297</v>
      </c>
      <c r="BR18" s="1159" t="s">
        <v>1298</v>
      </c>
      <c r="BS18" s="274"/>
      <c r="BT18" s="1432" t="s">
        <v>1488</v>
      </c>
      <c r="BU18" s="1159" t="s">
        <v>1489</v>
      </c>
      <c r="BV18" s="1070"/>
      <c r="BW18" s="1697" t="s">
        <v>1490</v>
      </c>
      <c r="BX18" s="1691" t="s">
        <v>1491</v>
      </c>
      <c r="BZ18" s="1432" t="s">
        <v>1492</v>
      </c>
      <c r="CA18" s="1159" t="s">
        <v>1493</v>
      </c>
      <c r="CC18" s="1432" t="s">
        <v>1494</v>
      </c>
      <c r="CD18" s="1159" t="s">
        <v>1495</v>
      </c>
    </row>
    <row r="19" ht="21" customHeight="1">
      <c r="A19" s="1870" t="s">
        <v>1496</v>
      </c>
      <c r="B19" s="1075">
        <v>2017</v>
      </c>
      <c r="E19" s="1074" t="s">
        <v>169</v>
      </c>
      <c r="I19" s="1076" t="s">
        <v>1497</v>
      </c>
      <c r="N19" s="1158" t="s">
        <v>1498</v>
      </c>
      <c r="X19" s="1087"/>
      <c r="AW19" s="1120" t="s">
        <v>1483</v>
      </c>
      <c r="AX19" s="1120" t="s">
        <v>1483</v>
      </c>
      <c r="AZ19" s="1067" t="s">
        <v>1499</v>
      </c>
      <c r="BB19" s="1120" t="s">
        <v>1500</v>
      </c>
      <c r="BC19" s="1120" t="s">
        <v>1325</v>
      </c>
      <c r="BE19" s="1120">
        <v>2017</v>
      </c>
      <c r="BH19" s="1068" t="s">
        <v>1501</v>
      </c>
      <c r="BJ19" s="1217" t="s">
        <v>1502</v>
      </c>
      <c r="BL19" s="1217" t="s">
        <v>1502</v>
      </c>
      <c r="BQ19" s="1281">
        <v>4190064</v>
      </c>
      <c r="BR19" s="1068" t="s">
        <v>1503</v>
      </c>
      <c r="BS19" s="1429"/>
      <c r="BT19" s="1281">
        <v>4189671</v>
      </c>
      <c r="BU19" s="1068" t="s">
        <v>1504</v>
      </c>
      <c r="BV19" s="1070"/>
      <c r="BW19" s="1695">
        <v>4189706</v>
      </c>
      <c r="BX19" s="1693" t="s">
        <v>1505</v>
      </c>
      <c r="BZ19" s="1281">
        <v>4189714</v>
      </c>
      <c r="CA19" s="1068" t="s">
        <v>1506</v>
      </c>
      <c r="CC19" s="1281">
        <v>4189708</v>
      </c>
      <c r="CD19" s="1068" t="s">
        <v>1507</v>
      </c>
    </row>
    <row r="20" ht="21" customHeight="1">
      <c r="A20" s="1074" t="s">
        <v>1508</v>
      </c>
      <c r="B20" s="1075">
        <v>2018</v>
      </c>
      <c r="E20" s="1074" t="s">
        <v>1257</v>
      </c>
      <c r="I20" s="1076" t="s">
        <v>1509</v>
      </c>
      <c r="N20" s="1158" t="s">
        <v>1510</v>
      </c>
      <c r="AW20" s="1120" t="s">
        <v>1497</v>
      </c>
      <c r="AX20" s="1120" t="s">
        <v>1497</v>
      </c>
      <c r="AZ20" s="1120" t="s">
        <v>1511</v>
      </c>
      <c r="BB20" s="1120" t="s">
        <v>1512</v>
      </c>
      <c r="BC20" s="1120" t="s">
        <v>1442</v>
      </c>
      <c r="BE20" s="1120">
        <v>2018</v>
      </c>
      <c r="BH20" s="1068" t="s">
        <v>1438</v>
      </c>
      <c r="BJ20" s="1068" t="s">
        <v>1365</v>
      </c>
      <c r="BL20" s="1068" t="s">
        <v>1365</v>
      </c>
      <c r="BQ20" s="1281">
        <v>4190065</v>
      </c>
      <c r="BR20" s="1068" t="s">
        <v>1513</v>
      </c>
      <c r="BS20" s="1429"/>
      <c r="BT20" s="1281">
        <v>4189672</v>
      </c>
      <c r="BU20" s="1068" t="s">
        <v>1514</v>
      </c>
      <c r="BV20" s="1070"/>
      <c r="BW20" s="1695">
        <v>4189705</v>
      </c>
      <c r="BX20" s="1693" t="s">
        <v>1515</v>
      </c>
      <c r="BZ20" s="1281">
        <v>4189713</v>
      </c>
      <c r="CA20" s="1068" t="s">
        <v>1515</v>
      </c>
      <c r="CC20" s="1281">
        <v>4189709</v>
      </c>
      <c r="CD20" s="1068" t="s">
        <v>1516</v>
      </c>
    </row>
    <row r="21" ht="21" customHeight="1">
      <c r="A21" s="1074" t="s">
        <v>1517</v>
      </c>
      <c r="B21" s="1075">
        <v>2019</v>
      </c>
      <c r="I21" s="1076" t="s">
        <v>1518</v>
      </c>
      <c r="N21" s="1158" t="s">
        <v>1519</v>
      </c>
      <c r="AW21" s="1120" t="s">
        <v>1509</v>
      </c>
      <c r="AX21" s="1120" t="s">
        <v>1509</v>
      </c>
      <c r="AZ21" s="1120" t="s">
        <v>1520</v>
      </c>
      <c r="BB21" s="1120" t="s">
        <v>1521</v>
      </c>
      <c r="BC21" s="1120" t="s">
        <v>1325</v>
      </c>
      <c r="BE21" s="1120">
        <v>2019</v>
      </c>
      <c r="BH21" s="1068" t="s">
        <v>1445</v>
      </c>
      <c r="BJ21" s="1068" t="s">
        <v>1381</v>
      </c>
      <c r="BL21" s="1068" t="s">
        <v>1381</v>
      </c>
      <c r="BQ21" s="1281">
        <v>4190066</v>
      </c>
      <c r="BR21" s="1068" t="s">
        <v>1522</v>
      </c>
      <c r="BS21" s="1429"/>
      <c r="BT21" s="1281">
        <v>4189673</v>
      </c>
      <c r="BU21" s="1068" t="s">
        <v>1523</v>
      </c>
      <c r="BV21" s="1070"/>
      <c r="BW21" s="1695">
        <v>4189707</v>
      </c>
      <c r="BX21" s="1693" t="s">
        <v>1524</v>
      </c>
      <c r="BZ21" s="1281">
        <v>4189712</v>
      </c>
      <c r="CA21" s="1068" t="s">
        <v>1525</v>
      </c>
      <c r="CC21" s="1281">
        <v>4189710</v>
      </c>
      <c r="CD21" s="1068" t="s">
        <v>1526</v>
      </c>
    </row>
    <row r="22" ht="21" customHeight="1">
      <c r="A22" s="1074" t="s">
        <v>1527</v>
      </c>
      <c r="B22" s="1075">
        <v>2020</v>
      </c>
      <c r="N22" s="1158" t="s">
        <v>1528</v>
      </c>
      <c r="AW22" s="1120" t="s">
        <v>1518</v>
      </c>
      <c r="AX22" s="1120" t="s">
        <v>1518</v>
      </c>
      <c r="AZ22" s="1120" t="s">
        <v>1529</v>
      </c>
      <c r="BB22" s="1120" t="s">
        <v>1530</v>
      </c>
      <c r="BC22" s="1120" t="s">
        <v>1325</v>
      </c>
      <c r="BE22" s="1120">
        <v>2020</v>
      </c>
      <c r="BH22" s="1068" t="s">
        <v>1452</v>
      </c>
      <c r="BJ22" s="1068" t="s">
        <v>1397</v>
      </c>
      <c r="BL22" s="1068" t="s">
        <v>1397</v>
      </c>
      <c r="BQ22" s="1281">
        <v>4190067</v>
      </c>
      <c r="BR22" s="1068" t="s">
        <v>1531</v>
      </c>
      <c r="BS22" s="1429"/>
      <c r="BT22" s="1281">
        <v>4189674</v>
      </c>
      <c r="BU22" s="1068" t="s">
        <v>1532</v>
      </c>
      <c r="BV22" s="1070"/>
      <c r="BW22" s="1070"/>
      <c r="CC22" s="1281">
        <v>4189711</v>
      </c>
      <c r="CD22" s="1068" t="s">
        <v>295</v>
      </c>
    </row>
    <row r="23" ht="21" customHeight="1">
      <c r="A23" s="1074" t="s">
        <v>1533</v>
      </c>
      <c r="B23" s="1075">
        <v>2021</v>
      </c>
      <c r="AW23" s="1120" t="s">
        <v>1534</v>
      </c>
      <c r="AX23" s="1120" t="s">
        <v>1534</v>
      </c>
      <c r="AZ23" s="1120" t="s">
        <v>1535</v>
      </c>
      <c r="BB23" s="1120" t="s">
        <v>1536</v>
      </c>
      <c r="BC23" s="1120" t="s">
        <v>1234</v>
      </c>
      <c r="BE23" s="1120">
        <v>2021</v>
      </c>
      <c r="BH23" s="1068" t="s">
        <v>1460</v>
      </c>
      <c r="BJ23" s="1068" t="s">
        <v>1413</v>
      </c>
      <c r="BL23" s="1068" t="s">
        <v>1413</v>
      </c>
      <c r="BQ23" s="1281">
        <v>4190068</v>
      </c>
      <c r="BR23" s="1068" t="s">
        <v>1537</v>
      </c>
      <c r="BS23" s="1429"/>
      <c r="BT23" s="1281">
        <v>4189675</v>
      </c>
      <c r="BU23" s="1068" t="s">
        <v>1538</v>
      </c>
      <c r="BV23" s="1070"/>
      <c r="BW23" s="1070"/>
      <c r="CC23" s="1281">
        <v>5110778</v>
      </c>
      <c r="CD23" s="1068" t="s">
        <v>1539</v>
      </c>
    </row>
    <row r="24" ht="21" customHeight="1">
      <c r="A24" s="1074" t="s">
        <v>1540</v>
      </c>
      <c r="B24" s="1075">
        <v>2022</v>
      </c>
      <c r="AW24" s="1120" t="s">
        <v>1541</v>
      </c>
      <c r="AX24" s="1120" t="s">
        <v>1541</v>
      </c>
      <c r="AZ24" s="1120" t="s">
        <v>1542</v>
      </c>
      <c r="BB24" s="1120" t="s">
        <v>1543</v>
      </c>
      <c r="BC24" s="1120" t="s">
        <v>1544</v>
      </c>
      <c r="BE24" s="1120">
        <v>2022</v>
      </c>
      <c r="BH24" s="1068" t="s">
        <v>1469</v>
      </c>
      <c r="BJ24" s="1068" t="s">
        <v>1427</v>
      </c>
      <c r="BL24" s="1068" t="s">
        <v>1427</v>
      </c>
      <c r="BQ24" s="1281">
        <v>4190069</v>
      </c>
      <c r="BR24" s="1068" t="s">
        <v>1545</v>
      </c>
      <c r="BS24" s="1429"/>
      <c r="BT24" s="1281">
        <v>4189676</v>
      </c>
      <c r="BU24" s="1068" t="s">
        <v>1546</v>
      </c>
      <c r="BV24" s="1070"/>
      <c r="BW24" s="1070"/>
      <c r="CC24" s="1281">
        <v>25575374</v>
      </c>
      <c r="CD24" s="1068" t="s">
        <v>1547</v>
      </c>
    </row>
    <row r="25" ht="11.25" customHeight="1">
      <c r="A25" s="1074" t="s">
        <v>1548</v>
      </c>
      <c r="B25" s="1075">
        <v>2023</v>
      </c>
      <c r="AW25" s="1120" t="s">
        <v>1549</v>
      </c>
      <c r="AX25" s="1120" t="s">
        <v>1549</v>
      </c>
      <c r="AZ25" s="1120" t="s">
        <v>1550</v>
      </c>
      <c r="BB25" s="1120" t="s">
        <v>1551</v>
      </c>
      <c r="BC25" s="1120" t="s">
        <v>1544</v>
      </c>
      <c r="BE25" s="1120">
        <v>2023</v>
      </c>
      <c r="BH25" s="1068" t="s">
        <v>1476</v>
      </c>
      <c r="BJ25" s="1068" t="s">
        <v>1501</v>
      </c>
      <c r="BL25" s="1068" t="s">
        <v>1501</v>
      </c>
      <c r="BQ25" s="1281">
        <v>4190070</v>
      </c>
      <c r="BR25" s="1068" t="s">
        <v>1552</v>
      </c>
      <c r="BS25" s="1429"/>
      <c r="BT25" s="1281">
        <v>4189677</v>
      </c>
      <c r="BU25" s="1068" t="s">
        <v>1553</v>
      </c>
      <c r="BV25" s="1070"/>
      <c r="BW25" s="1070"/>
    </row>
    <row r="26" ht="11.25" customHeight="1">
      <c r="A26" s="1074" t="s">
        <v>1554</v>
      </c>
      <c r="B26" s="1075">
        <v>2024</v>
      </c>
      <c r="J26" s="1731" t="s">
        <v>1555</v>
      </c>
      <c r="AX26" s="1120" t="s">
        <v>1556</v>
      </c>
      <c r="AZ26" s="1120" t="s">
        <v>1420</v>
      </c>
      <c r="BB26" s="1120" t="s">
        <v>1557</v>
      </c>
      <c r="BC26" s="1120" t="s">
        <v>1544</v>
      </c>
      <c r="BE26" s="1120">
        <v>2024</v>
      </c>
      <c r="BH26" s="1068" t="s">
        <v>1487</v>
      </c>
      <c r="BJ26" s="1068" t="s">
        <v>1438</v>
      </c>
      <c r="BL26" s="1068" t="s">
        <v>1438</v>
      </c>
      <c r="BQ26" s="1281">
        <v>4190071</v>
      </c>
      <c r="BR26" s="1068" t="s">
        <v>1558</v>
      </c>
      <c r="BS26" s="1429"/>
      <c r="BV26" s="1070"/>
      <c r="BW26" s="1070"/>
    </row>
    <row r="27" ht="11.25" customHeight="1">
      <c r="A27" s="1074" t="s">
        <v>1559</v>
      </c>
      <c r="B27" s="1075">
        <v>2025</v>
      </c>
      <c r="J27" s="176" t="s">
        <v>122</v>
      </c>
      <c r="AX27" s="1120" t="s">
        <v>1560</v>
      </c>
      <c r="BB27" s="1120" t="s">
        <v>1561</v>
      </c>
      <c r="BC27" s="1120" t="s">
        <v>1544</v>
      </c>
      <c r="BE27" s="1120">
        <v>2025</v>
      </c>
      <c r="BH27" s="1070" t="s">
        <v>22</v>
      </c>
      <c r="BJ27" s="1068" t="s">
        <v>1445</v>
      </c>
      <c r="BL27" s="1068" t="s">
        <v>1445</v>
      </c>
      <c r="BN27" s="1070" t="s">
        <v>22</v>
      </c>
      <c r="BQ27" s="1281">
        <v>4190072</v>
      </c>
      <c r="BR27" s="1068" t="s">
        <v>1562</v>
      </c>
      <c r="BS27" s="1429"/>
      <c r="BV27" s="1070"/>
      <c r="BW27" s="1070"/>
    </row>
    <row r="28" ht="11.25" customHeight="1">
      <c r="A28" s="1074" t="s">
        <v>1563</v>
      </c>
      <c r="D28" s="1101"/>
      <c r="E28" s="1102"/>
      <c r="F28" s="1102"/>
      <c r="H28" s="1103" t="s">
        <v>1564</v>
      </c>
      <c r="AX28" s="1120" t="s">
        <v>1565</v>
      </c>
      <c r="AZ28" s="1067" t="s">
        <v>1566</v>
      </c>
      <c r="BB28" s="1120" t="s">
        <v>1567</v>
      </c>
      <c r="BC28" s="1120" t="s">
        <v>1568</v>
      </c>
      <c r="BE28" s="1120">
        <v>2026</v>
      </c>
      <c r="BH28" s="1070" t="s">
        <v>22</v>
      </c>
      <c r="BJ28" s="1068" t="s">
        <v>1452</v>
      </c>
      <c r="BL28" s="1068" t="s">
        <v>1452</v>
      </c>
      <c r="BN28" s="1070" t="s">
        <v>22</v>
      </c>
      <c r="BQ28" s="1281">
        <v>4190073</v>
      </c>
      <c r="BR28" s="1068" t="s">
        <v>1569</v>
      </c>
      <c r="BS28" s="1429"/>
      <c r="BV28" s="1070"/>
      <c r="BW28" s="1070"/>
    </row>
    <row r="29" ht="11.25" customHeight="1">
      <c r="A29" s="1074" t="s">
        <v>1570</v>
      </c>
      <c r="D29" s="1104" t="s">
        <v>1571</v>
      </c>
      <c r="E29" s="1105" t="str">
        <f>IF(TEMPLATE_GROUP="","",INDEX(StartDateList,MATCH(TEMPLATE_GROUP,CodeTemplateList,0),1))</f>
        <v>01.07.2026</v>
      </c>
      <c r="F29" s="1105" t="str">
        <f>IF(TEMPLATE_GROUP="","",INDEX(EndDateList,MATCH(TEMPLATE_GROUP,CodeTemplateList,0),1))</f>
        <v>30.09.2026</v>
      </c>
      <c r="H29" s="1106" t="s">
        <v>1572</v>
      </c>
      <c r="AX29" s="1120" t="s">
        <v>1573</v>
      </c>
      <c r="AZ29" s="1120" t="s">
        <v>1218</v>
      </c>
      <c r="BB29" s="1120" t="s">
        <v>1420</v>
      </c>
      <c r="BC29" s="1091"/>
      <c r="BE29" s="1120">
        <v>2027</v>
      </c>
      <c r="BJ29" s="1068" t="s">
        <v>1460</v>
      </c>
      <c r="BL29" s="1068" t="s">
        <v>1460</v>
      </c>
    </row>
    <row r="30" ht="11.25" customHeight="1">
      <c r="A30" s="1074" t="s">
        <v>1574</v>
      </c>
      <c r="D30" s="1107"/>
      <c r="E30" s="1108"/>
      <c r="F30" s="1108"/>
      <c r="AX30" s="1120" t="s">
        <v>1575</v>
      </c>
      <c r="AZ30" s="1120" t="s">
        <v>1246</v>
      </c>
      <c r="BE30" s="1120">
        <v>2028</v>
      </c>
      <c r="BJ30" s="1068" t="s">
        <v>1576</v>
      </c>
      <c r="BL30" s="1068" t="s">
        <v>1576</v>
      </c>
    </row>
    <row r="31" ht="12.75" customHeight="1">
      <c r="A31" s="1074" t="s">
        <v>1577</v>
      </c>
      <c r="D31" s="1101"/>
      <c r="E31" s="1102"/>
      <c r="F31" s="1102"/>
      <c r="H31" s="1109"/>
      <c r="AX31" s="1120" t="s">
        <v>1578</v>
      </c>
      <c r="AZ31" s="1120" t="s">
        <v>1579</v>
      </c>
      <c r="BE31" s="1120">
        <v>2029</v>
      </c>
      <c r="BJ31" s="1068" t="s">
        <v>1580</v>
      </c>
      <c r="BL31" s="1068" t="s">
        <v>1580</v>
      </c>
    </row>
    <row r="32" ht="11.25" customHeight="1">
      <c r="A32" s="1074" t="s">
        <v>1581</v>
      </c>
      <c r="D32" s="1104" t="s">
        <v>1582</v>
      </c>
      <c r="E32" s="1105" t="str">
        <f>IF(TEMPLATE_GROUP="","",INDEX(StartDateList,MATCH(TEMPLATE_GROUP,CodeTemplateList,0),1))</f>
        <v>01.07.2026</v>
      </c>
      <c r="F32" s="1105" t="str">
        <f>IF(TEMPLATE_GROUP="","",INDEX(EndDateList,MATCH(TEMPLATE_GROUP,CodeTemplateList,0),1))</f>
        <v>30.09.2026</v>
      </c>
      <c r="H32" s="1110" t="s">
        <v>1583</v>
      </c>
      <c r="O32" s="1074" t="s">
        <v>1216</v>
      </c>
      <c r="AX32" s="1120" t="s">
        <v>1584</v>
      </c>
      <c r="AZ32" s="1120" t="s">
        <v>1313</v>
      </c>
      <c r="BE32" s="1120">
        <v>2030</v>
      </c>
      <c r="BJ32" s="1068" t="s">
        <v>1469</v>
      </c>
      <c r="BL32" s="1068" t="s">
        <v>1469</v>
      </c>
    </row>
    <row r="33" ht="11.25" customHeight="1">
      <c r="A33" s="1074" t="s">
        <v>1585</v>
      </c>
      <c r="O33" s="1074" t="s">
        <v>1243</v>
      </c>
      <c r="AX33" s="1120" t="s">
        <v>1586</v>
      </c>
      <c r="AZ33" s="1120" t="s">
        <v>1217</v>
      </c>
      <c r="BE33" s="1120">
        <v>2031</v>
      </c>
      <c r="BJ33" s="1068" t="s">
        <v>1476</v>
      </c>
      <c r="BL33" s="1068" t="s">
        <v>1476</v>
      </c>
    </row>
    <row r="34" ht="11.25" customHeight="1">
      <c r="A34" s="1074" t="s">
        <v>1587</v>
      </c>
      <c r="O34" s="1074" t="s">
        <v>1278</v>
      </c>
      <c r="AX34" s="1120" t="s">
        <v>1588</v>
      </c>
      <c r="BE34" s="1120">
        <v>2032</v>
      </c>
      <c r="BJ34" s="1068" t="s">
        <v>1487</v>
      </c>
      <c r="BL34" s="1068" t="s">
        <v>1487</v>
      </c>
    </row>
    <row r="35" ht="11.25" customHeight="1">
      <c r="A35" s="1074" t="s">
        <v>1589</v>
      </c>
      <c r="O35" s="1074" t="s">
        <v>1311</v>
      </c>
      <c r="AX35" s="1120" t="s">
        <v>1590</v>
      </c>
      <c r="AZ35" s="1067" t="s">
        <v>1591</v>
      </c>
      <c r="BE35" s="1120">
        <v>2033</v>
      </c>
      <c r="BL35" s="1068" t="s">
        <v>1592</v>
      </c>
    </row>
    <row r="36" ht="11.25" customHeight="1">
      <c r="A36" s="1870" t="s">
        <v>1593</v>
      </c>
      <c r="D36" s="1111" t="s">
        <v>1594</v>
      </c>
      <c r="E36" s="1112" t="s">
        <v>909</v>
      </c>
      <c r="F36" s="1113" t="str">
        <f>INDEX(E37:E41,MATCH(TEMPLATE_SPHERE,F37:F41,0))</f>
        <v>водоотведения</v>
      </c>
      <c r="G36" s="1113" t="str">
        <f>INDEX(G37:G41,MATCH(TEMPLATE_SPHERE,F37:F41,0))</f>
        <v>водоотведение</v>
      </c>
      <c r="O36" s="1074" t="s">
        <v>1336</v>
      </c>
      <c r="AX36" s="1120" t="s">
        <v>1595</v>
      </c>
      <c r="AZ36" s="1120" t="s">
        <v>1217</v>
      </c>
      <c r="BE36" s="1120">
        <v>2034</v>
      </c>
      <c r="BL36" s="1068" t="s">
        <v>1596</v>
      </c>
    </row>
    <row r="37" ht="11.25" customHeight="1">
      <c r="A37" s="1074" t="s">
        <v>1597</v>
      </c>
      <c r="E37" s="407" t="s">
        <v>1598</v>
      </c>
      <c r="F37" s="1114" t="s">
        <v>810</v>
      </c>
      <c r="G37" s="407" t="s">
        <v>1599</v>
      </c>
      <c r="O37" s="1074" t="s">
        <v>1355</v>
      </c>
      <c r="AX37" s="1120" t="s">
        <v>1600</v>
      </c>
      <c r="AZ37" s="1120" t="s">
        <v>1245</v>
      </c>
      <c r="BE37" s="1120">
        <v>2035</v>
      </c>
    </row>
    <row r="38" ht="11.25" customHeight="1">
      <c r="A38" s="1074" t="s">
        <v>1601</v>
      </c>
      <c r="E38" s="407" t="s">
        <v>1602</v>
      </c>
      <c r="F38" s="1115" t="s">
        <v>856</v>
      </c>
      <c r="G38" s="407" t="s">
        <v>1603</v>
      </c>
      <c r="O38" s="1074" t="s">
        <v>1372</v>
      </c>
      <c r="AX38" s="1120" t="s">
        <v>1604</v>
      </c>
      <c r="AZ38" s="1120" t="s">
        <v>1279</v>
      </c>
      <c r="BE38" s="1120">
        <v>2036</v>
      </c>
      <c r="BH38" s="1067" t="s">
        <v>1605</v>
      </c>
      <c r="BJ38" s="1067" t="s">
        <v>1606</v>
      </c>
      <c r="BL38" s="1067" t="s">
        <v>1607</v>
      </c>
      <c r="BN38" s="1067" t="s">
        <v>1608</v>
      </c>
    </row>
    <row r="39" ht="11.25" customHeight="1">
      <c r="A39" s="1074" t="s">
        <v>1609</v>
      </c>
      <c r="E39" s="407" t="s">
        <v>1610</v>
      </c>
      <c r="F39" s="1115" t="s">
        <v>909</v>
      </c>
      <c r="G39" s="407" t="s">
        <v>1611</v>
      </c>
      <c r="O39" s="1074" t="s">
        <v>1388</v>
      </c>
      <c r="AX39" s="1120" t="s">
        <v>1612</v>
      </c>
      <c r="AZ39" s="1120" t="s">
        <v>1312</v>
      </c>
      <c r="BE39" s="1120">
        <v>2037</v>
      </c>
      <c r="BH39" s="1068" t="s">
        <v>1613</v>
      </c>
      <c r="BJ39" s="1217" t="s">
        <v>1613</v>
      </c>
      <c r="BL39" s="1217" t="s">
        <v>1613</v>
      </c>
      <c r="BN39" s="1068" t="s">
        <v>1614</v>
      </c>
    </row>
    <row r="40" ht="11.25" customHeight="1">
      <c r="A40" s="1074" t="s">
        <v>1615</v>
      </c>
      <c r="E40" s="407" t="s">
        <v>1616</v>
      </c>
      <c r="F40" s="1115" t="s">
        <v>896</v>
      </c>
      <c r="G40" s="407" t="s">
        <v>1617</v>
      </c>
      <c r="O40" s="1074" t="s">
        <v>1404</v>
      </c>
      <c r="AX40" s="1120" t="s">
        <v>1618</v>
      </c>
      <c r="BE40" s="1120">
        <v>2038</v>
      </c>
      <c r="BH40" s="1068" t="s">
        <v>1619</v>
      </c>
      <c r="BJ40" s="1217" t="s">
        <v>1029</v>
      </c>
      <c r="BL40" s="1217" t="s">
        <v>1029</v>
      </c>
      <c r="BN40" s="1068" t="s">
        <v>1063</v>
      </c>
    </row>
    <row r="41" ht="11.25" customHeight="1">
      <c r="A41" s="1074" t="s">
        <v>1620</v>
      </c>
      <c r="E41" s="407" t="s">
        <v>1621</v>
      </c>
      <c r="F41" s="1115" t="s">
        <v>1622</v>
      </c>
      <c r="G41" s="407" t="s">
        <v>1621</v>
      </c>
      <c r="O41" s="1074" t="s">
        <v>1420</v>
      </c>
      <c r="AX41" s="1120" t="s">
        <v>1623</v>
      </c>
      <c r="AZ41" s="1067" t="s">
        <v>1624</v>
      </c>
      <c r="BE41" s="1120">
        <v>2039</v>
      </c>
      <c r="BH41" s="1068" t="s">
        <v>1625</v>
      </c>
      <c r="BJ41" s="1217" t="s">
        <v>1025</v>
      </c>
      <c r="BL41" s="1217" t="s">
        <v>1025</v>
      </c>
      <c r="BN41" s="1068" t="s">
        <v>1050</v>
      </c>
    </row>
    <row r="42" ht="11.25" customHeight="1">
      <c r="A42" s="1074" t="s">
        <v>1626</v>
      </c>
      <c r="AX42" s="1120" t="s">
        <v>1627</v>
      </c>
      <c r="AZ42" s="1120" t="s">
        <v>1216</v>
      </c>
      <c r="BE42" s="1120">
        <v>2040</v>
      </c>
      <c r="BH42" s="1068" t="s">
        <v>1047</v>
      </c>
      <c r="BJ42" s="1217" t="s">
        <v>1027</v>
      </c>
      <c r="BL42" s="1217" t="s">
        <v>1027</v>
      </c>
      <c r="BN42" s="1068" t="s">
        <v>1628</v>
      </c>
    </row>
    <row r="43" ht="11.25" customHeight="1">
      <c r="A43" s="1074" t="s">
        <v>1629</v>
      </c>
      <c r="AX43" s="1120" t="s">
        <v>1630</v>
      </c>
      <c r="AZ43" s="1120" t="s">
        <v>1243</v>
      </c>
      <c r="BE43" s="1120">
        <v>2041</v>
      </c>
      <c r="BH43" s="1068" t="s">
        <v>1631</v>
      </c>
      <c r="BJ43" s="1217" t="s">
        <v>1625</v>
      </c>
      <c r="BL43" s="1217" t="s">
        <v>1625</v>
      </c>
      <c r="BN43" s="1068" t="s">
        <v>1632</v>
      </c>
    </row>
    <row r="44" ht="11.25" customHeight="1">
      <c r="A44" s="1074" t="s">
        <v>1633</v>
      </c>
      <c r="G44" s="1094">
        <f>YEAR(TODAY())</f>
        <v>2026</v>
      </c>
      <c r="I44" s="799" t="s">
        <v>1634</v>
      </c>
      <c r="J44" s="1089" t="s">
        <v>1635</v>
      </c>
      <c r="K44" s="1089" t="s">
        <v>1636</v>
      </c>
      <c r="AX44" s="1120" t="s">
        <v>1637</v>
      </c>
      <c r="AZ44" s="1120" t="s">
        <v>1278</v>
      </c>
      <c r="BE44" s="1120">
        <v>2042</v>
      </c>
      <c r="BH44" s="1068" t="s">
        <v>1638</v>
      </c>
      <c r="BJ44" s="1217" t="s">
        <v>1047</v>
      </c>
      <c r="BL44" s="1217" t="s">
        <v>1047</v>
      </c>
      <c r="BN44" s="1068" t="s">
        <v>1639</v>
      </c>
    </row>
    <row r="45" ht="11.25" customHeight="1">
      <c r="A45" s="1074" t="s">
        <v>1640</v>
      </c>
      <c r="D45" s="1111" t="s">
        <v>1641</v>
      </c>
      <c r="E45" s="1112" t="s">
        <v>1642</v>
      </c>
      <c r="F45" s="797" t="s">
        <v>1643</v>
      </c>
      <c r="G45" s="796" t="s">
        <v>1644</v>
      </c>
      <c r="H45" s="799" t="s">
        <v>1645</v>
      </c>
      <c r="I45" s="1741">
        <f>INDEX(PeriodIsEmptyList,MATCH(TEMPLATE_GROUP,CodeTemplateList,0),1)</f>
        <v>0</v>
      </c>
      <c r="J45" s="1744" t="str">
        <f>INDEX(NameTemplatesInTitleList,MATCH(TEMPLATE_GROUP,CodeTemplateList,0),1)</f>
        <v xml:space="preserve">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5" s="1744" t="str">
        <f>"Перечень муниципальных районов и муниципальных образований (территорий "&amp;IF(OR(TEMPLATE_GROUP="P",TEMPLATE_GROUP="R",TEMPLATE_GROUP="Q"),"действия тарифа","оказания услуг")&amp;")"</f>
        <v xml:space="preserve">Перечень муниципальных районов и муниципальных образований (территорий действия тарифа)</v>
      </c>
      <c r="AX45" s="1120" t="s">
        <v>1646</v>
      </c>
      <c r="AZ45" s="1120" t="s">
        <v>1311</v>
      </c>
      <c r="BE45" s="1120">
        <v>2043</v>
      </c>
      <c r="BH45" s="1068" t="s">
        <v>1647</v>
      </c>
      <c r="BJ45" s="1217" t="s">
        <v>1041</v>
      </c>
      <c r="BL45" s="1217" t="s">
        <v>1041</v>
      </c>
      <c r="BN45" s="1068" t="s">
        <v>1648</v>
      </c>
    </row>
    <row r="46" ht="11.25" customHeight="1">
      <c r="A46" s="1074" t="s">
        <v>1649</v>
      </c>
      <c r="E46" s="407" t="s">
        <v>27</v>
      </c>
      <c r="F46" s="1114" t="s">
        <v>1650</v>
      </c>
      <c r="G46" s="1116" t="str">
        <f>_xlfn.IFERROR(IF(TITLE_DATE_FIL="","01.01."&amp;CURRENT_YEAR,"01.01."&amp;YEAR(TITLE_DATE_FIL)),"01.01."&amp;CURRENT_YEAR)</f>
        <v>01.01.2026</v>
      </c>
      <c r="H46" s="1116" t="str">
        <f>_xlfn.IFERROR(IF(TITLE_DATE_FIL="","31.12."&amp;CURRENT_YEAR,"31.12."&amp;YEAR(TITLE_DATE_FIL)),"31.12."&amp;CURRENT_YEAR)</f>
        <v>31.12.2026</v>
      </c>
      <c r="I46" s="1742">
        <f>IF(TITLE_DATE_FIL="",TRUE,FALSE)</f>
        <v>1</v>
      </c>
      <c r="J46" s="1745" t="str">
        <f>"Общая информация о регулируемой организации ("&amp;TEMPLATE_SPHERE_RUS&amp;")"</f>
        <v xml:space="preserve">Общая информация о регулируемой организации (водоотведения)</v>
      </c>
      <c r="K46" s="1746"/>
      <c r="AX46" s="1120" t="s">
        <v>1651</v>
      </c>
      <c r="AZ46" s="1120" t="s">
        <v>1336</v>
      </c>
      <c r="BE46" s="1120">
        <v>2044</v>
      </c>
      <c r="BH46" s="1068" t="s">
        <v>1050</v>
      </c>
      <c r="BJ46" s="1217" t="s">
        <v>1031</v>
      </c>
      <c r="BL46" s="1217" t="s">
        <v>1031</v>
      </c>
      <c r="BN46" s="1068" t="s">
        <v>1652</v>
      </c>
    </row>
    <row r="47" ht="11.25" customHeight="1">
      <c r="A47" s="1074" t="s">
        <v>1653</v>
      </c>
      <c r="E47" s="407" t="s">
        <v>33</v>
      </c>
      <c r="F47" s="1115" t="s">
        <v>1642</v>
      </c>
      <c r="G47" s="1116" t="str">
        <f>_xlfn.IFERROR(IF(f_year="","01.01."&amp;CURRENT_YEAR,IF(LEN(f_quart)=0,"01.01."&amp;f_year,IF(f_quart="I квартал","01.01."&amp;f_year,IF(f_quart="II квартал","01.04."&amp;f_year,(IF(f_quart="III квартал","01.07."&amp;f_year,"01.10."&amp;f_year)))))),"01.01."&amp;CURRENT_YEAR)</f>
        <v>01.07.2026</v>
      </c>
      <c r="H47" s="1116" t="str">
        <f>_xlfn.IFERROR(IF(f_year="","31.12."&amp;CURRENT_YEAR,IF(LEN(f_quart)=0,"31.12."&amp;f_year,IF(f_quart="I квартал","31.03."&amp;f_year,IF(f_quart="II квартал","30.06."&amp;f_year,(IF(f_quart="III квартал","30.09."&amp;f_year,"31.12."&amp;f_year)))))),"31.12."&amp;CURRENT_YEAR)</f>
        <v>30.09.2026</v>
      </c>
      <c r="I47" s="1743">
        <f>IF(OR(f_year="",f_quart=""),TRUE,FALSE)</f>
        <v>0</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 xml:space="preserve">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7" s="1746"/>
      <c r="AX47" s="1120" t="s">
        <v>1654</v>
      </c>
      <c r="AZ47" s="1120" t="s">
        <v>1355</v>
      </c>
      <c r="BE47" s="1120">
        <v>2045</v>
      </c>
      <c r="BH47" s="1068" t="s">
        <v>1628</v>
      </c>
      <c r="BJ47" s="1217" t="s">
        <v>1033</v>
      </c>
      <c r="BL47" s="1217" t="s">
        <v>1033</v>
      </c>
      <c r="BN47" s="1068" t="s">
        <v>1655</v>
      </c>
    </row>
    <row r="48" ht="11.25" customHeight="1">
      <c r="A48" s="1074" t="s">
        <v>1656</v>
      </c>
      <c r="E48" s="407" t="s">
        <v>1657</v>
      </c>
      <c r="F48" s="1115" t="s">
        <v>1658</v>
      </c>
      <c r="G48" s="1116" t="str">
        <f>_xlfn.IFERROR(IF(f_year="","01.01."&amp;CURRENT_YEAR,"01.01."&amp;f_year),"01.01."&amp;CURRENT_YEAR)</f>
        <v>01.01.2026</v>
      </c>
      <c r="H48" s="1116" t="str">
        <f>_xlfn.IFERROR(IF(f_year="","31.12."&amp;CURRENT_YEAR,"31.12."&amp;f_year),"31.12."&amp;CURRENT_YEAR)</f>
        <v>31.12.2026</v>
      </c>
      <c r="I48" s="1742">
        <f>IF(f_year="",TRUE,FALSE)</f>
        <v>0</v>
      </c>
      <c r="J48" s="1745" t="s">
        <v>1659</v>
      </c>
      <c r="K48" s="1746"/>
      <c r="AX48" s="1120" t="s">
        <v>1660</v>
      </c>
      <c r="AZ48" s="1120" t="s">
        <v>1372</v>
      </c>
      <c r="BE48" s="1120">
        <v>2046</v>
      </c>
      <c r="BH48" s="1068" t="s">
        <v>1632</v>
      </c>
      <c r="BJ48" s="1217" t="s">
        <v>1035</v>
      </c>
      <c r="BL48" s="1217" t="s">
        <v>1035</v>
      </c>
      <c r="BN48" s="1068" t="s">
        <v>1661</v>
      </c>
    </row>
    <row r="49" ht="11.25" customHeight="1">
      <c r="A49" s="1074" t="s">
        <v>1662</v>
      </c>
      <c r="E49" s="407" t="s">
        <v>1663</v>
      </c>
      <c r="F49" s="1115" t="s">
        <v>1664</v>
      </c>
      <c r="G49" s="1116" t="str">
        <f>_xlfn.IFERROR(IF(f_year="","01.01."&amp;CURRENT_YEAR,"01.01."&amp;f_year),"01.01."&amp;CURRENT_YEAR)</f>
        <v>01.01.2026</v>
      </c>
      <c r="H49" s="1116" t="str">
        <f>_xlfn.IFERROR(IF(f_year="","31.12."&amp;CURRENT_YEAR,"31.12."&amp;f_year),"31.12."&amp;CURRENT_YEAR)</f>
        <v>31.12.2026</v>
      </c>
      <c r="I49" s="1742">
        <f>IF(f_year="",TRUE,FALSE)</f>
        <v>0</v>
      </c>
      <c r="J49" s="1745" t="str">
        <f>"Информация об условиях, на которых осуществляется поставка товаров (оказание услуг) в сфере "&amp;TEMPLATE_SPHERE_RUS</f>
        <v xml:space="preserve">Информация об условиях, на которых осуществляется поставка товаров (оказание услуг) в сфере водоотведения</v>
      </c>
      <c r="K49" s="1746"/>
      <c r="AX49" s="1120" t="s">
        <v>1665</v>
      </c>
      <c r="AZ49" s="1120" t="s">
        <v>1388</v>
      </c>
      <c r="BE49" s="1120">
        <v>2047</v>
      </c>
      <c r="BH49" s="1068" t="s">
        <v>1051</v>
      </c>
      <c r="BJ49" s="1217" t="s">
        <v>1037</v>
      </c>
      <c r="BL49" s="1217" t="s">
        <v>1037</v>
      </c>
    </row>
    <row r="50" ht="11.25" customHeight="1">
      <c r="A50" s="1074" t="s">
        <v>1666</v>
      </c>
      <c r="E50" s="407" t="s">
        <v>1667</v>
      </c>
      <c r="F50" s="1115" t="s">
        <v>1021</v>
      </c>
      <c r="G50" s="1116" t="str">
        <f>_xlfn.IFERROR(IF(f_year="","01.01."&amp;CURRENT_YEAR,"01.01."&amp;f_year),"01.01."&amp;CURRENT_YEAR)</f>
        <v>01.01.2026</v>
      </c>
      <c r="H50" s="1116" t="str">
        <f>_xlfn.IFERROR(IF(f_year="","31.12."&amp;CURRENT_YEAR,"31.12."&amp;f_year),"31.12."&amp;CURRENT_YEAR)</f>
        <v>31.12.2026</v>
      </c>
      <c r="I50" s="1742">
        <f>IF(f_year="",TRUE,FALSE)</f>
        <v>0</v>
      </c>
      <c r="J50" s="1745" t="str">
        <f>"Информация об инвестиционных программах регулируемой организации в области "&amp;TEMPLATE_SPHERE_RUS</f>
        <v xml:space="preserve">Информация об инвестиционных программах регулируемой организации в области водоотведения</v>
      </c>
      <c r="K50" s="1746"/>
      <c r="AX50" s="1120" t="s">
        <v>1668</v>
      </c>
      <c r="AZ50" s="1120" t="s">
        <v>1404</v>
      </c>
      <c r="BE50" s="1120">
        <v>2048</v>
      </c>
      <c r="BH50" s="1068" t="s">
        <v>1639</v>
      </c>
      <c r="BJ50" s="1217" t="s">
        <v>1039</v>
      </c>
      <c r="BL50" s="1217" t="s">
        <v>1039</v>
      </c>
    </row>
    <row r="51" ht="11.25" customHeight="1">
      <c r="A51" s="1074" t="s">
        <v>1669</v>
      </c>
      <c r="E51" s="407" t="s">
        <v>1670</v>
      </c>
      <c r="F51" s="1115" t="s">
        <v>1671</v>
      </c>
      <c r="G51" s="1116" t="str">
        <f>_xlfn.IFERROR(IF(TITLE_PERIOD_START="","01.01."&amp;CURRENT_YEAR,"01.01."&amp;YEAR(TITLE_PERIOD_START)),"01.01."&amp;CURRENT_YEAR)</f>
        <v>01.01.2026</v>
      </c>
      <c r="H51" s="1116" t="str">
        <f>_xlfn.IFERROR(IF(TITLE_PERIOD_END="","31.12."&amp;CURRENT_YEAR,"31.12."&amp;YEAR(TITLE_PERIOD_END)),"31.12."&amp;CURRENT_YEAR)</f>
        <v>31.12.2026</v>
      </c>
      <c r="I51" s="1743">
        <f>IF(OR(TITLE_PERIOD_START="",TITLE_PERIOD_END=""),TRUE,FALSE)</f>
        <v>1</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 xml:space="preserve">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1672</v>
      </c>
      <c r="AZ51" s="1120" t="s">
        <v>1420</v>
      </c>
      <c r="BE51" s="1120">
        <v>2049</v>
      </c>
      <c r="BH51" s="1068" t="s">
        <v>1648</v>
      </c>
      <c r="BJ51" s="1217" t="s">
        <v>1673</v>
      </c>
      <c r="BL51" s="1217" t="s">
        <v>1673</v>
      </c>
    </row>
    <row r="52" ht="11.25" customHeight="1">
      <c r="A52" s="1074" t="s">
        <v>1674</v>
      </c>
      <c r="E52" s="407" t="s">
        <v>1675</v>
      </c>
      <c r="F52" s="1115" t="s">
        <v>1676</v>
      </c>
      <c r="G52" s="1116" t="str">
        <f>_xlfn.IFERROR(IF(TITLE_PERIOD_START="","01.01."&amp;CURRENT_YEAR,"01.01."&amp;YEAR(TITLE_PERIOD_START)),"01.01."&amp;CURRENT_YEAR)</f>
        <v>01.01.2026</v>
      </c>
      <c r="H52" s="1116" t="str">
        <f>_xlfn.IFERROR(IF(TITLE_PERIOD_END="","31.12."&amp;CURRENT_YEAR,"31.12."&amp;YEAR(TITLE_PERIOD_END)),"31.12."&amp;CURRENT_YEAR)</f>
        <v>31.12.2026</v>
      </c>
      <c r="I52" s="1743">
        <f>IF(OR(TITLE_PERIOD_START="",TITLE_PERIOD_END=""),TRUE,FALSE)</f>
        <v>1</v>
      </c>
      <c r="J52" s="1745" t="str">
        <f>"Показатели, подлежащие раскрытию в сфере "&amp;TEMPLATE_SPHERE_RUS&amp;" (цены и тарифы)"</f>
        <v xml:space="preserve">Показатели, подлежащие раскрытию в сфере водоотведения (цены и тарифы)</v>
      </c>
      <c r="K52" s="1746"/>
      <c r="AX52" s="1120" t="s">
        <v>1677</v>
      </c>
      <c r="AZ52" s="1120" t="s">
        <v>1217</v>
      </c>
      <c r="BE52" s="1120">
        <v>2050</v>
      </c>
      <c r="BH52" s="1068" t="s">
        <v>1652</v>
      </c>
      <c r="BJ52" s="1217" t="s">
        <v>1050</v>
      </c>
      <c r="BL52" s="1217" t="s">
        <v>1050</v>
      </c>
    </row>
    <row r="53" ht="11.25" customHeight="1">
      <c r="A53" s="1074" t="s">
        <v>1678</v>
      </c>
      <c r="E53" s="407" t="s">
        <v>1679</v>
      </c>
      <c r="F53" s="1115" t="s">
        <v>1679</v>
      </c>
      <c r="G53" s="1116" t="str">
        <f>_xlfn.IFERROR(IF(f_year="","01.01."&amp;CURRENT_YEAR,"01.01."&amp;f_year),"01.01."&amp;CURRENT_YEAR)</f>
        <v>01.01.2026</v>
      </c>
      <c r="H53" s="1116" t="str">
        <f>_xlfn.IFERROR(IF(f_year="","31.12."&amp;CURRENT_YEAR,"31.12."&amp;f_year),"31.12."&amp;CURRENT_YEAR)</f>
        <v>31.12.2026</v>
      </c>
      <c r="I53" s="1742">
        <f>IF(AND(f_year="",TITLE_DATE_FIL=""),TRUE,FALSE)</f>
        <v>0</v>
      </c>
      <c r="J53" s="1745" t="s">
        <v>1680</v>
      </c>
      <c r="K53" s="1746"/>
      <c r="AX53" s="1120" t="s">
        <v>1681</v>
      </c>
      <c r="BE53" s="1120">
        <v>2051</v>
      </c>
      <c r="BH53" s="1068" t="s">
        <v>1655</v>
      </c>
      <c r="BJ53" s="1217" t="s">
        <v>1628</v>
      </c>
      <c r="BL53" s="1217" t="s">
        <v>1628</v>
      </c>
    </row>
    <row r="54" ht="11.25" customHeight="1">
      <c r="A54" s="1074" t="s">
        <v>1682</v>
      </c>
      <c r="AX54" s="1120" t="s">
        <v>1683</v>
      </c>
      <c r="AZ54" s="1067" t="s">
        <v>1684</v>
      </c>
      <c r="BE54" s="1120">
        <v>2052</v>
      </c>
      <c r="BH54" s="1068" t="s">
        <v>1661</v>
      </c>
      <c r="BJ54" s="1217" t="s">
        <v>1632</v>
      </c>
      <c r="BL54" s="1217" t="s">
        <v>1632</v>
      </c>
    </row>
    <row r="55" ht="11.25" customHeight="1">
      <c r="A55" s="1074" t="s">
        <v>1685</v>
      </c>
      <c r="AX55" s="1120" t="s">
        <v>1686</v>
      </c>
      <c r="AZ55" s="1120" t="s">
        <v>1219</v>
      </c>
      <c r="BE55" s="1120">
        <v>2053</v>
      </c>
      <c r="BH55" s="1070" t="s">
        <v>22</v>
      </c>
      <c r="BJ55" s="1217" t="s">
        <v>1051</v>
      </c>
      <c r="BL55" s="1217" t="s">
        <v>1051</v>
      </c>
    </row>
    <row r="56" ht="11.25" customHeight="1">
      <c r="A56" s="1074" t="s">
        <v>1687</v>
      </c>
      <c r="D56" s="1118" t="s">
        <v>1688</v>
      </c>
      <c r="E56" s="1095" t="s">
        <v>111</v>
      </c>
      <c r="F56" s="1074" t="s">
        <v>1689</v>
      </c>
      <c r="AX56" s="1120" t="s">
        <v>1690</v>
      </c>
      <c r="AZ56" s="1120" t="s">
        <v>1247</v>
      </c>
      <c r="BE56" s="1120">
        <v>2054</v>
      </c>
      <c r="BH56" s="1070" t="s">
        <v>22</v>
      </c>
      <c r="BJ56" s="1217" t="s">
        <v>1639</v>
      </c>
      <c r="BL56" s="1217" t="s">
        <v>1639</v>
      </c>
    </row>
    <row r="57" ht="11.25" customHeight="1">
      <c r="A57" s="1074" t="s">
        <v>1691</v>
      </c>
      <c r="D57" s="1118" t="s">
        <v>1692</v>
      </c>
      <c r="E57" s="1095" t="s">
        <v>1681</v>
      </c>
      <c r="F57" s="1074" t="s">
        <v>1689</v>
      </c>
      <c r="AX57" s="1120" t="s">
        <v>1693</v>
      </c>
      <c r="AZ57" s="1120" t="s">
        <v>1281</v>
      </c>
      <c r="BE57" s="1120">
        <v>2055</v>
      </c>
      <c r="BJ57" s="1217" t="s">
        <v>1648</v>
      </c>
      <c r="BL57" s="1217" t="s">
        <v>1648</v>
      </c>
    </row>
    <row r="58" ht="11.25" customHeight="1">
      <c r="A58" s="1074" t="s">
        <v>1694</v>
      </c>
      <c r="D58" s="1118" t="s">
        <v>1695</v>
      </c>
      <c r="E58" s="1095" t="s">
        <v>111</v>
      </c>
      <c r="F58" s="1074" t="s">
        <v>1689</v>
      </c>
      <c r="AX58" s="1120" t="s">
        <v>1696</v>
      </c>
      <c r="BE58" s="1120">
        <v>2056</v>
      </c>
      <c r="BJ58" s="1217" t="s">
        <v>1652</v>
      </c>
      <c r="BL58" s="1217" t="s">
        <v>1652</v>
      </c>
    </row>
    <row r="59" ht="11.25" customHeight="1">
      <c r="A59" s="1074" t="s">
        <v>1697</v>
      </c>
      <c r="D59" s="1118" t="s">
        <v>135</v>
      </c>
      <c r="E59" s="1095" t="s">
        <v>1584</v>
      </c>
      <c r="F59" s="1074" t="s">
        <v>1698</v>
      </c>
      <c r="AX59" s="1120" t="s">
        <v>1699</v>
      </c>
      <c r="AZ59" s="1067" t="s">
        <v>1700</v>
      </c>
      <c r="BE59" s="1120">
        <v>2057</v>
      </c>
      <c r="BJ59" s="1217" t="s">
        <v>1655</v>
      </c>
      <c r="BL59" s="1217" t="s">
        <v>1655</v>
      </c>
    </row>
    <row r="60" ht="11.25" customHeight="1">
      <c r="A60" s="1074" t="s">
        <v>1701</v>
      </c>
      <c r="D60" s="1118" t="s">
        <v>1702</v>
      </c>
      <c r="E60" s="1095" t="s">
        <v>1584</v>
      </c>
      <c r="F60" s="1074" t="s">
        <v>1698</v>
      </c>
      <c r="AX60" s="1120" t="s">
        <v>1703</v>
      </c>
      <c r="AZ60" s="1120" t="s">
        <v>1220</v>
      </c>
      <c r="BE60" s="1120">
        <v>2058</v>
      </c>
      <c r="BJ60" s="1217" t="s">
        <v>1661</v>
      </c>
      <c r="BL60" s="1217" t="s">
        <v>1661</v>
      </c>
    </row>
    <row r="61" ht="11.25" customHeight="1">
      <c r="A61" s="1074" t="s">
        <v>1704</v>
      </c>
      <c r="D61" s="1118" t="s">
        <v>1705</v>
      </c>
      <c r="E61" s="1095" t="s">
        <v>1584</v>
      </c>
      <c r="F61" s="1074" t="s">
        <v>1698</v>
      </c>
      <c r="AX61" s="1120" t="s">
        <v>1706</v>
      </c>
      <c r="AZ61" s="1120" t="s">
        <v>1248</v>
      </c>
      <c r="BE61" s="1120">
        <v>2059</v>
      </c>
      <c r="BL61" s="1217" t="s">
        <v>1043</v>
      </c>
    </row>
    <row r="62" ht="11.25" customHeight="1">
      <c r="A62" s="1074" t="s">
        <v>1707</v>
      </c>
      <c r="D62" s="1118" t="s">
        <v>134</v>
      </c>
      <c r="E62" s="1095">
        <v>30</v>
      </c>
      <c r="F62" s="1074" t="s">
        <v>1698</v>
      </c>
      <c r="AZ62" s="1120" t="s">
        <v>1282</v>
      </c>
      <c r="BE62" s="1120">
        <v>2060</v>
      </c>
      <c r="BL62" s="1217" t="s">
        <v>1045</v>
      </c>
    </row>
    <row r="63" ht="11.25" customHeight="1">
      <c r="A63" s="1074" t="s">
        <v>1708</v>
      </c>
      <c r="D63" s="1118" t="s">
        <v>1709</v>
      </c>
      <c r="E63" s="1095">
        <v>30</v>
      </c>
      <c r="F63" s="1074" t="s">
        <v>1698</v>
      </c>
      <c r="AZ63" s="1120" t="s">
        <v>1314</v>
      </c>
      <c r="BE63" s="1120">
        <v>2061</v>
      </c>
    </row>
    <row r="64" ht="11.25" customHeight="1">
      <c r="A64" s="1074" t="s">
        <v>1710</v>
      </c>
      <c r="D64" s="1118" t="s">
        <v>1711</v>
      </c>
      <c r="E64" s="1095">
        <v>30</v>
      </c>
      <c r="F64" s="1074" t="s">
        <v>1698</v>
      </c>
      <c r="AZ64" s="1120" t="s">
        <v>1337</v>
      </c>
      <c r="BE64" s="1120">
        <v>2062</v>
      </c>
    </row>
    <row r="65" ht="11.25" customHeight="1">
      <c r="A65" s="1074" t="s">
        <v>1712</v>
      </c>
      <c r="D65" s="1074"/>
      <c r="BE65" s="1120">
        <v>2063</v>
      </c>
    </row>
    <row r="66" ht="11.25" customHeight="1">
      <c r="A66" s="1074" t="s">
        <v>1713</v>
      </c>
      <c r="AZ66" s="1067" t="s">
        <v>1714</v>
      </c>
      <c r="BE66" s="1120">
        <v>2064</v>
      </c>
    </row>
    <row r="67" ht="11.25" customHeight="1">
      <c r="A67" s="1074" t="s">
        <v>1715</v>
      </c>
      <c r="AZ67" s="1120" t="s">
        <v>1221</v>
      </c>
      <c r="BE67" s="1120">
        <v>2065</v>
      </c>
    </row>
    <row r="68" ht="11.25" customHeight="1">
      <c r="A68" s="1074" t="s">
        <v>1716</v>
      </c>
      <c r="AZ68" s="1120" t="s">
        <v>1249</v>
      </c>
      <c r="BE68" s="1120">
        <v>2066</v>
      </c>
      <c r="BH68" s="1067" t="s">
        <v>1717</v>
      </c>
      <c r="BJ68" s="1067" t="s">
        <v>1718</v>
      </c>
      <c r="BL68" s="1067" t="s">
        <v>1719</v>
      </c>
      <c r="BN68" s="1067" t="s">
        <v>1720</v>
      </c>
    </row>
    <row r="69" ht="11.25" customHeight="1">
      <c r="A69" s="1074" t="s">
        <v>16</v>
      </c>
      <c r="AZ69" s="1120" t="s">
        <v>1283</v>
      </c>
      <c r="BE69" s="1120">
        <v>2067</v>
      </c>
      <c r="BH69" s="1068" t="s">
        <v>1721</v>
      </c>
      <c r="BI69" s="1117" t="s">
        <v>109</v>
      </c>
      <c r="BJ69" s="1068" t="s">
        <v>1722</v>
      </c>
      <c r="BK69" s="1117" t="s">
        <v>109</v>
      </c>
      <c r="BL69" s="1068" t="s">
        <v>1723</v>
      </c>
      <c r="BM69" s="1070" t="s">
        <v>109</v>
      </c>
      <c r="BN69" s="1068" t="s">
        <v>1724</v>
      </c>
    </row>
    <row r="70" ht="11.25" customHeight="1">
      <c r="A70" s="1074" t="s">
        <v>1725</v>
      </c>
      <c r="AZ70" s="1120" t="s">
        <v>1315</v>
      </c>
      <c r="BE70" s="1120">
        <v>2068</v>
      </c>
      <c r="BH70" s="1068" t="s">
        <v>1726</v>
      </c>
      <c r="BJ70" s="1068" t="s">
        <v>1727</v>
      </c>
      <c r="BL70" s="1068" t="s">
        <v>1728</v>
      </c>
      <c r="BN70" s="1068" t="s">
        <v>1729</v>
      </c>
    </row>
    <row r="71" ht="11.25" customHeight="1">
      <c r="A71" s="1074" t="s">
        <v>1730</v>
      </c>
      <c r="AZ71" s="1120" t="s">
        <v>1317</v>
      </c>
      <c r="BE71" s="1120">
        <v>2069</v>
      </c>
      <c r="BH71" s="1068" t="s">
        <v>1731</v>
      </c>
      <c r="BI71" s="1117" t="s">
        <v>89</v>
      </c>
      <c r="BJ71" s="1068" t="s">
        <v>1732</v>
      </c>
      <c r="BK71" s="1117" t="s">
        <v>89</v>
      </c>
      <c r="BL71" s="1068" t="s">
        <v>1733</v>
      </c>
      <c r="BM71" s="1070" t="s">
        <v>89</v>
      </c>
      <c r="BN71" s="1068" t="s">
        <v>1734</v>
      </c>
    </row>
    <row r="72" ht="11.25" customHeight="1">
      <c r="A72" s="1074" t="s">
        <v>1735</v>
      </c>
      <c r="AZ72" s="1120" t="s">
        <v>19</v>
      </c>
      <c r="BE72" s="1120">
        <v>2070</v>
      </c>
      <c r="BH72" s="1068" t="s">
        <v>1736</v>
      </c>
      <c r="BJ72" s="1068" t="s">
        <v>1736</v>
      </c>
      <c r="BL72" s="1068" t="s">
        <v>1736</v>
      </c>
      <c r="BN72" s="1068" t="s">
        <v>1737</v>
      </c>
    </row>
    <row r="73" ht="11.25" customHeight="1">
      <c r="A73" s="1074" t="s">
        <v>1738</v>
      </c>
      <c r="BH73" s="1068" t="s">
        <v>1739</v>
      </c>
      <c r="BI73" s="1117" t="s">
        <v>111</v>
      </c>
      <c r="BJ73" s="1068" t="s">
        <v>1740</v>
      </c>
      <c r="BK73" s="1117" t="s">
        <v>111</v>
      </c>
      <c r="BL73" s="1068" t="s">
        <v>1741</v>
      </c>
      <c r="BM73" s="1070" t="s">
        <v>111</v>
      </c>
      <c r="BN73" s="1068" t="s">
        <v>1742</v>
      </c>
    </row>
    <row r="74" ht="11.25" customHeight="1">
      <c r="A74" s="1074" t="s">
        <v>1743</v>
      </c>
      <c r="BH74" s="1068" t="s">
        <v>1744</v>
      </c>
      <c r="BJ74" s="1068" t="s">
        <v>1745</v>
      </c>
      <c r="BL74" s="1068" t="s">
        <v>1746</v>
      </c>
      <c r="BN74" s="1068" t="s">
        <v>1747</v>
      </c>
    </row>
    <row r="75" ht="11.25" customHeight="1">
      <c r="A75" s="1074" t="s">
        <v>1748</v>
      </c>
      <c r="AZ75" s="1067" t="s">
        <v>1749</v>
      </c>
      <c r="BH75" s="1068" t="s">
        <v>1750</v>
      </c>
      <c r="BJ75" s="1068" t="s">
        <v>1750</v>
      </c>
      <c r="BL75" s="1068" t="s">
        <v>1750</v>
      </c>
    </row>
    <row r="76" ht="11.25" customHeight="1">
      <c r="A76" s="1074" t="s">
        <v>1751</v>
      </c>
      <c r="AZ76" s="1120" t="s">
        <v>1230</v>
      </c>
      <c r="BH76" s="1068" t="s">
        <v>1752</v>
      </c>
      <c r="BJ76" s="1068" t="s">
        <v>1753</v>
      </c>
      <c r="BL76" s="1068" t="s">
        <v>1754</v>
      </c>
    </row>
    <row r="77" ht="11.25" customHeight="1">
      <c r="A77" s="1074" t="s">
        <v>1755</v>
      </c>
      <c r="AZ77" s="1120" t="s">
        <v>1259</v>
      </c>
    </row>
    <row r="78" ht="11.25" customHeight="1">
      <c r="A78" s="1074" t="s">
        <v>1756</v>
      </c>
      <c r="AZ78" s="1120" t="s">
        <v>1290</v>
      </c>
    </row>
    <row r="79" ht="11.25" customHeight="1">
      <c r="A79" s="1074" t="s">
        <v>1757</v>
      </c>
      <c r="AZ79" s="1120" t="s">
        <v>1321</v>
      </c>
      <c r="BH79" s="1067" t="s">
        <v>1758</v>
      </c>
      <c r="BJ79" s="1067" t="s">
        <v>1759</v>
      </c>
      <c r="BL79" s="1067" t="s">
        <v>1760</v>
      </c>
    </row>
    <row r="80" ht="11.25" customHeight="1">
      <c r="A80" s="1074" t="s">
        <v>1761</v>
      </c>
      <c r="AZ80" s="1120" t="s">
        <v>1342</v>
      </c>
      <c r="BH80" s="1068" t="s">
        <v>1762</v>
      </c>
      <c r="BJ80" s="1068" t="s">
        <v>1763</v>
      </c>
      <c r="BL80" s="1068" t="s">
        <v>1764</v>
      </c>
    </row>
    <row r="81" ht="11.25" customHeight="1">
      <c r="A81" s="1074" t="s">
        <v>1765</v>
      </c>
      <c r="AZ81" s="1120" t="s">
        <v>1359</v>
      </c>
      <c r="BH81" s="1068" t="s">
        <v>1766</v>
      </c>
      <c r="BJ81" s="1068" t="s">
        <v>1767</v>
      </c>
      <c r="BL81" s="1068" t="s">
        <v>1768</v>
      </c>
    </row>
    <row r="82" ht="11.25" customHeight="1">
      <c r="A82" s="1074" t="s">
        <v>1769</v>
      </c>
      <c r="AZ82" s="1120" t="s">
        <v>1374</v>
      </c>
      <c r="BH82" s="1068" t="s">
        <v>1770</v>
      </c>
      <c r="BJ82" s="1068" t="s">
        <v>1771</v>
      </c>
      <c r="BL82" s="1068" t="s">
        <v>1772</v>
      </c>
    </row>
    <row r="83" ht="11.25" customHeight="1">
      <c r="A83" s="1074" t="s">
        <v>1773</v>
      </c>
      <c r="BH83" s="1068" t="s">
        <v>1774</v>
      </c>
      <c r="BJ83" s="1068" t="s">
        <v>1775</v>
      </c>
      <c r="BL83" s="1068" t="s">
        <v>1776</v>
      </c>
    </row>
    <row r="84" ht="11.25" customHeight="1">
      <c r="A84" s="1074" t="s">
        <v>1777</v>
      </c>
      <c r="AZ84" s="1067" t="s">
        <v>1778</v>
      </c>
    </row>
    <row r="85" ht="11.25" customHeight="1">
      <c r="A85" s="1870" t="s">
        <v>1779</v>
      </c>
      <c r="AZ85" s="1120" t="s">
        <v>1780</v>
      </c>
    </row>
    <row r="86" ht="11.25" customHeight="1">
      <c r="A86" s="1074" t="s">
        <v>1781</v>
      </c>
      <c r="AZ86" s="1120" t="s">
        <v>1782</v>
      </c>
      <c r="BH86" s="1067" t="s">
        <v>1783</v>
      </c>
      <c r="BJ86" s="1067" t="s">
        <v>1784</v>
      </c>
      <c r="BL86" s="1067" t="s">
        <v>1785</v>
      </c>
    </row>
    <row r="87" ht="11.25" customHeight="1">
      <c r="A87" s="1074" t="s">
        <v>1786</v>
      </c>
      <c r="AZ87" s="1120" t="s">
        <v>1787</v>
      </c>
      <c r="BH87" s="1068" t="s">
        <v>1788</v>
      </c>
      <c r="BJ87" s="1068" t="s">
        <v>1789</v>
      </c>
      <c r="BL87" s="1068" t="s">
        <v>1790</v>
      </c>
    </row>
    <row r="88" ht="11.25" customHeight="1">
      <c r="A88" s="1074" t="s">
        <v>1791</v>
      </c>
      <c r="AZ88" s="1606"/>
      <c r="BH88" s="1068" t="s">
        <v>1792</v>
      </c>
      <c r="BJ88" s="1068" t="s">
        <v>1793</v>
      </c>
      <c r="BL88" s="1068" t="s">
        <v>1794</v>
      </c>
    </row>
    <row r="89" ht="11.25" customHeight="1">
      <c r="A89" s="1074" t="s">
        <v>1795</v>
      </c>
      <c r="AZ89" s="1067" t="s">
        <v>1796</v>
      </c>
    </row>
    <row r="90" ht="11.25" customHeight="1">
      <c r="A90" s="1074" t="s">
        <v>1797</v>
      </c>
      <c r="AZ90" s="1120" t="s">
        <v>1021</v>
      </c>
    </row>
    <row r="91" ht="11.25" customHeight="1">
      <c r="A91" s="1074" t="s">
        <v>1798</v>
      </c>
      <c r="AZ91" s="1120" t="s">
        <v>1057</v>
      </c>
      <c r="BH91" s="1067" t="s">
        <v>1799</v>
      </c>
      <c r="BJ91" s="1067" t="s">
        <v>1800</v>
      </c>
      <c r="BL91" s="1067" t="s">
        <v>1801</v>
      </c>
    </row>
    <row r="92" ht="11.25" customHeight="1">
      <c r="AZ92" s="1120" t="s">
        <v>1802</v>
      </c>
      <c r="BH92" s="1068" t="s">
        <v>1803</v>
      </c>
      <c r="BJ92" s="1068" t="s">
        <v>1804</v>
      </c>
      <c r="BL92" s="1068" t="s">
        <v>1805</v>
      </c>
    </row>
    <row r="93" ht="11.25" customHeight="1">
      <c r="AZ93" s="1120" t="s">
        <v>1806</v>
      </c>
      <c r="BH93" s="1068" t="s">
        <v>1807</v>
      </c>
      <c r="BJ93" s="1068" t="s">
        <v>1808</v>
      </c>
      <c r="BL93" s="1068" t="s">
        <v>1809</v>
      </c>
    </row>
    <row r="94" ht="11.25" customHeight="1">
      <c r="AZ94" s="1120" t="s">
        <v>1810</v>
      </c>
    </row>
    <row r="96" ht="11.25" customHeight="1">
      <c r="AZ96" s="1067" t="s">
        <v>1811</v>
      </c>
      <c r="BH96" s="1067" t="s">
        <v>1812</v>
      </c>
      <c r="BJ96" s="1067" t="s">
        <v>1813</v>
      </c>
      <c r="BL96" s="1067" t="s">
        <v>1814</v>
      </c>
      <c r="BN96" s="1067" t="s">
        <v>1815</v>
      </c>
    </row>
    <row r="97" ht="11.25" customHeight="1">
      <c r="AZ97" s="1901" t="s">
        <v>1816</v>
      </c>
      <c r="BA97" s="1902" t="s">
        <v>1817</v>
      </c>
      <c r="BH97" s="1068" t="s">
        <v>1818</v>
      </c>
      <c r="BJ97" s="1068" t="s">
        <v>1819</v>
      </c>
      <c r="BL97" s="1068" t="s">
        <v>1820</v>
      </c>
      <c r="BN97" s="1068" t="s">
        <v>1821</v>
      </c>
    </row>
    <row r="98" ht="11.25" customHeight="1">
      <c r="AZ98" s="1901" t="s">
        <v>1822</v>
      </c>
      <c r="BA98" s="1902" t="s">
        <v>1823</v>
      </c>
      <c r="BH98" s="1068" t="s">
        <v>1824</v>
      </c>
      <c r="BJ98" s="1068" t="s">
        <v>1825</v>
      </c>
      <c r="BL98" s="1068" t="s">
        <v>1826</v>
      </c>
      <c r="BN98" s="1068" t="s">
        <v>1827</v>
      </c>
    </row>
    <row r="99" ht="22.5" customHeight="1">
      <c r="AZ99" s="1901" t="s">
        <v>1828</v>
      </c>
      <c r="BA99" s="1902" t="str">
        <f>"не позднее чем за "&amp;IF(TEMPLATE_SPHERE="TKO","3","10")&amp;" дней до дня проведения заседания правления"</f>
        <v xml:space="preserve">не позднее чем за 10 дней до дня проведения заседания правления</v>
      </c>
      <c r="BH99" s="1068" t="s">
        <v>1829</v>
      </c>
      <c r="BJ99" s="1068" t="s">
        <v>1830</v>
      </c>
      <c r="BL99" s="1068" t="s">
        <v>1831</v>
      </c>
      <c r="BN99" s="1068" t="s">
        <v>1832</v>
      </c>
    </row>
    <row r="100" ht="22.5" customHeight="1">
      <c r="AZ100" s="1901" t="s">
        <v>1833</v>
      </c>
      <c r="BA100" s="1902" t="str">
        <f>"в течение "&amp;IF(TEMPLATE_SPHERE="HEAT","5","7")&amp;" рабочих дней со дня принятия соответствующего решения"</f>
        <v xml:space="preserve">в течение 7 рабочих дней со дня принятия соответствующего решения</v>
      </c>
      <c r="BJ100" s="1068" t="s">
        <v>1420</v>
      </c>
      <c r="BL100" s="1068" t="s">
        <v>1420</v>
      </c>
      <c r="BN100" s="1068" t="s">
        <v>1834</v>
      </c>
    </row>
    <row r="101" ht="22.5" customHeight="1">
      <c r="AZ101" s="1901" t="s">
        <v>1835</v>
      </c>
      <c r="BA101" s="1902" t="s">
        <v>1836</v>
      </c>
      <c r="BN101" s="1068" t="s">
        <v>1837</v>
      </c>
    </row>
    <row r="102" ht="22.5" customHeight="1">
      <c r="AZ102" s="1901" t="s">
        <v>1838</v>
      </c>
      <c r="BA102" s="1902" t="str">
        <f>"в течение "&amp;IF(TEMPLATE_SPHERE="HEAT","5","7")&amp;" рабочих дней со дня принятия соответствующего решения"</f>
        <v xml:space="preserve">в течение 7 рабочих дней со дня принятия соответствующего решения</v>
      </c>
      <c r="BN102" s="1068" t="s">
        <v>1839</v>
      </c>
    </row>
    <row r="103" ht="11.25" customHeight="1">
      <c r="AZ103" s="1901" t="s">
        <v>1840</v>
      </c>
      <c r="BA103" s="1902" t="s">
        <v>1841</v>
      </c>
      <c r="BN103" s="1068" t="s">
        <v>1842</v>
      </c>
    </row>
    <row r="104" ht="11.25" customHeight="1">
      <c r="BN104" s="1068" t="s">
        <v>1843</v>
      </c>
    </row>
    <row r="105" ht="11.25" customHeight="1">
      <c r="AZ105" s="1692" t="s">
        <v>1844</v>
      </c>
    </row>
    <row r="106" ht="11.25" customHeight="1">
      <c r="AZ106" s="1120" t="s">
        <v>1845</v>
      </c>
    </row>
    <row r="107" ht="11.25" customHeight="1">
      <c r="AZ107" s="1120" t="s">
        <v>1846</v>
      </c>
      <c r="BH107" s="1067" t="s">
        <v>1847</v>
      </c>
      <c r="BJ107" s="1067" t="s">
        <v>1848</v>
      </c>
      <c r="BL107" s="1067" t="s">
        <v>1849</v>
      </c>
      <c r="BN107" s="1067" t="s">
        <v>1850</v>
      </c>
    </row>
    <row r="108" ht="11.25" customHeight="1">
      <c r="AZ108" s="1120" t="s">
        <v>573</v>
      </c>
      <c r="BH108" s="1068" t="s">
        <v>1851</v>
      </c>
      <c r="BJ108" s="1068" t="s">
        <v>1852</v>
      </c>
      <c r="BL108" s="1068" t="s">
        <v>1506</v>
      </c>
      <c r="BN108" s="1068" t="s">
        <v>1853</v>
      </c>
    </row>
    <row r="109" ht="11.25" customHeight="1">
      <c r="BH109" s="1068" t="s">
        <v>1854</v>
      </c>
    </row>
    <row r="110" ht="11.25" customHeight="1">
      <c r="AZ110" s="1692" t="s">
        <v>1855</v>
      </c>
      <c r="BH110" s="1068" t="s">
        <v>1854</v>
      </c>
    </row>
    <row r="111" ht="11.25" customHeight="1">
      <c r="AZ111" s="1901" t="s">
        <v>1816</v>
      </c>
      <c r="BA111" s="1902" t="s">
        <v>1817</v>
      </c>
    </row>
    <row r="112" ht="11.25" customHeight="1">
      <c r="AZ112" s="1901" t="s">
        <v>1822</v>
      </c>
      <c r="BA112" s="1902" t="s">
        <v>1823</v>
      </c>
    </row>
    <row r="113" ht="22.5" customHeight="1">
      <c r="AZ113" s="1901" t="s">
        <v>1828</v>
      </c>
      <c r="BA113" s="1902" t="str">
        <f>"не позднее чем за "&amp;IF(TEMPLATE_SPHERE="TKO","3","10")&amp;" дней до дня проведения заседания правления"</f>
        <v xml:space="preserve">не позднее чем за 10 дней до дня проведения заседания правления</v>
      </c>
    </row>
    <row r="114" ht="22.5" customHeight="1">
      <c r="AZ114" s="1901" t="s">
        <v>1833</v>
      </c>
      <c r="BA114" s="1902" t="str">
        <f>"в течение "&amp;IF(TEMPLATE_SPHERE="HEAT","5","7")&amp;" рабочих дней со дня принятия соответствующего решения"</f>
        <v xml:space="preserve">в течение 7 рабочих дней со дня принятия соответствующего решения</v>
      </c>
      <c r="BH114" s="1067" t="s">
        <v>1856</v>
      </c>
    </row>
    <row r="115" ht="22.5" customHeight="1">
      <c r="AZ115" s="1901" t="s">
        <v>1838</v>
      </c>
      <c r="BA115" s="1902" t="str">
        <f>"в течение "&amp;IF(TEMPLATE_SPHERE="HEAT","5","7")&amp;" рабочих дней со дня принятия соответствующего решения"</f>
        <v xml:space="preserve">в течение 7 рабочих дней со дня принятия соответствующего решения</v>
      </c>
      <c r="BH115" s="1068" t="s">
        <v>1217</v>
      </c>
    </row>
    <row r="116" ht="11.25" customHeight="1">
      <c r="AZ116" s="1901" t="s">
        <v>1840</v>
      </c>
      <c r="BA116" s="1902" t="s">
        <v>1841</v>
      </c>
      <c r="BH116" s="1068" t="s">
        <v>1245</v>
      </c>
    </row>
    <row r="117" ht="11.25" customHeight="1">
      <c r="BH117" s="1068" t="s">
        <v>1279</v>
      </c>
    </row>
    <row r="118" ht="11.25" customHeight="1">
      <c r="BH118" s="1068" t="s">
        <v>1312</v>
      </c>
    </row>
  </sheetData>
  <sheetProtection autoFilter="0" deleteColumns="0" deleteRows="0" formatColumns="0" formatRows="0" insertColumns="1" insertRows="0" sort="0"/>
  <pageMargins left="0.75" right="0.75" top="1" bottom="1" header="0.5" footer="0.5"/>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GridLines="0" topLeftCell="A1" zoomScale="90" workbookViewId="0">
      <selection activeCell="A1" sqref="A1"/>
    </sheetView>
  </sheetViews>
  <sheetFormatPr defaultColWidth="9.140625" defaultRowHeight="11.25" customHeight="1"/>
  <cols>
    <col customWidth="1" hidden="1" min="1" max="2" style="501" width="15.00390625"/>
    <col customWidth="1" min="3" max="3" style="455" width="3.00390625"/>
    <col customWidth="1" min="4" max="4" style="456" width="6.00390625"/>
    <col customWidth="1" min="5" max="5" style="455" width="52.00390625"/>
    <col customWidth="1" min="6" max="6" style="455" width="48.00390625"/>
    <col customWidth="1" min="7" max="7" style="455" width="93.00390625"/>
    <col customWidth="1" min="8" max="8" style="455" width="8.00390625"/>
    <col customWidth="1" min="9" max="9" style="455" width="64.00390625"/>
    <col hidden="1" min="10" max="10" style="455" width="9.140625"/>
  </cols>
  <sheetData>
    <row r="1" ht="11.25" hidden="1" customHeight="1">
      <c r="A1" s="501" t="s">
        <v>301</v>
      </c>
      <c r="J1" s="455" t="s">
        <v>14</v>
      </c>
    </row>
    <row r="2" ht="22.5" hidden="1" customHeight="1">
      <c r="A2" s="502"/>
      <c r="B2" s="502"/>
      <c r="C2" s="1730" t="s">
        <v>122</v>
      </c>
      <c r="D2" s="1520"/>
      <c r="E2" s="1526"/>
      <c r="F2" s="1549"/>
      <c r="H2" s="475"/>
      <c r="J2" s="455">
        <v>0</v>
      </c>
    </row>
    <row r="3" ht="11.25" hidden="1" customHeight="1">
      <c r="J3" s="455">
        <v>0</v>
      </c>
    </row>
    <row r="4" ht="11.5" customHeight="1">
      <c r="A4" s="1550"/>
      <c r="B4" s="1550"/>
      <c r="J4" s="455">
        <v>11</v>
      </c>
    </row>
    <row r="5" ht="27.300000000000001" customHeight="1">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 xml:space="preserve">Форма 1. Информация об органе регулирования тарифов в сфере водоснабжения и водоотведения (далее – орган регулирования тарифов)</v>
      </c>
      <c r="E5" s="2239"/>
      <c r="F5" s="2240"/>
      <c r="I5" s="715"/>
      <c r="J5" s="455">
        <v>26</v>
      </c>
    </row>
    <row r="6" ht="18" customHeight="1">
      <c r="D6" s="2176" t="str">
        <f>IF(region_name=0,"Не определено",region_name)</f>
        <v xml:space="preserve">Рязанская область</v>
      </c>
      <c r="E6" s="2176"/>
      <c r="F6" s="2176"/>
      <c r="I6" s="715"/>
      <c r="J6" s="455">
        <v>17</v>
      </c>
    </row>
    <row r="7" s="477" customFormat="1" ht="11.5" customHeight="1">
      <c r="A7" s="501"/>
      <c r="B7" s="501"/>
      <c r="D7" s="714"/>
      <c r="E7" s="714"/>
      <c r="F7" s="752"/>
      <c r="G7" s="714"/>
      <c r="J7" s="477">
        <v>11</v>
      </c>
    </row>
    <row r="8" ht="11.25" hidden="1" customHeight="1">
      <c r="A8" s="502"/>
      <c r="B8" s="502"/>
      <c r="C8" s="457"/>
      <c r="D8" s="463"/>
      <c r="E8" s="2207"/>
      <c r="F8" s="2207"/>
      <c r="J8" s="455">
        <v>0</v>
      </c>
    </row>
    <row r="9" ht="11.5" customHeight="1">
      <c r="A9" s="502"/>
      <c r="B9" s="502"/>
      <c r="C9" s="457"/>
      <c r="D9" s="2204" t="s">
        <v>302</v>
      </c>
      <c r="E9" s="2205"/>
      <c r="F9" s="2205"/>
      <c r="G9" s="2208" t="s">
        <v>303</v>
      </c>
      <c r="J9" s="455">
        <v>11</v>
      </c>
    </row>
    <row r="10" ht="11.5" customHeight="1">
      <c r="A10" s="502"/>
      <c r="B10" s="502"/>
      <c r="C10" s="457"/>
      <c r="D10" s="1474" t="s">
        <v>87</v>
      </c>
      <c r="E10" s="1476" t="s">
        <v>304</v>
      </c>
      <c r="F10" s="1476" t="s">
        <v>305</v>
      </c>
      <c r="G10" s="2209"/>
      <c r="J10" s="455">
        <v>11</v>
      </c>
    </row>
    <row r="11" ht="1.05" customHeight="1">
      <c r="A11" s="502"/>
      <c r="B11" s="502"/>
      <c r="C11" s="457"/>
      <c r="D11" s="464"/>
      <c r="E11" s="464"/>
      <c r="F11" s="464"/>
      <c r="G11" s="464"/>
      <c r="J11" s="455">
        <v>1</v>
      </c>
    </row>
    <row r="12" ht="24" customHeight="1">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регулирования тарифов</v>
      </c>
      <c r="F12" s="1908" t="str">
        <f>IF(org="","",org)</f>
        <v xml:space="preserve">филиал ПАО "ОГК-2" - Рязанская ГРЭС</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 xml:space="preserve">Указывается в соответствии с нормативным правовым актом, на основании которого орган  регулирования тарифов образован.</v>
      </c>
      <c r="H12" s="1533"/>
      <c r="J12" s="455">
        <v>23</v>
      </c>
    </row>
    <row r="13" ht="19.949999999999999" customHeight="1">
      <c r="A13" s="502"/>
      <c r="B13" s="502"/>
      <c r="C13" s="457"/>
      <c r="D13" s="1520">
        <v>2</v>
      </c>
      <c r="E13" s="1527" t="s">
        <v>1857</v>
      </c>
      <c r="F13" s="1521" t="s">
        <v>308</v>
      </c>
      <c r="G13" s="474"/>
      <c r="H13" s="1533"/>
      <c r="J13" s="455">
        <v>19</v>
      </c>
    </row>
    <row r="14" ht="19.949999999999999" customHeight="1">
      <c r="A14" s="502"/>
      <c r="B14" s="502"/>
      <c r="C14" s="457"/>
      <c r="D14" s="1523" t="s">
        <v>711</v>
      </c>
      <c r="E14" s="1524" t="s">
        <v>1858</v>
      </c>
      <c r="F14" s="1526"/>
      <c r="G14" s="1525" t="s">
        <v>1859</v>
      </c>
      <c r="H14" s="1533"/>
      <c r="J14" s="455">
        <v>19</v>
      </c>
    </row>
    <row r="15" ht="19.949999999999999" customHeight="1">
      <c r="A15" s="502"/>
      <c r="B15" s="502"/>
      <c r="C15" s="457"/>
      <c r="D15" s="1523" t="s">
        <v>309</v>
      </c>
      <c r="E15" s="1524" t="s">
        <v>1860</v>
      </c>
      <c r="F15" s="1526"/>
      <c r="G15" s="1525" t="s">
        <v>1861</v>
      </c>
      <c r="H15" s="1533"/>
      <c r="J15" s="455">
        <v>19</v>
      </c>
    </row>
    <row r="16" ht="24" customHeight="1">
      <c r="A16" s="502"/>
      <c r="B16" s="502"/>
      <c r="C16" s="457"/>
      <c r="D16" s="1523" t="s">
        <v>312</v>
      </c>
      <c r="E16" s="1522" t="s">
        <v>1862</v>
      </c>
      <c r="F16" s="1531"/>
      <c r="G16" s="474" t="s">
        <v>1863</v>
      </c>
      <c r="H16" s="1533"/>
      <c r="J16" s="455">
        <v>23</v>
      </c>
    </row>
    <row r="17" ht="48.25" customHeight="1">
      <c r="A17" s="502"/>
      <c r="B17" s="502"/>
      <c r="C17" s="457"/>
      <c r="D17" s="1520">
        <v>3</v>
      </c>
      <c r="E17" s="1527" t="s">
        <v>1864</v>
      </c>
      <c r="F17" s="1526"/>
      <c r="G17" s="474" t="s">
        <v>1865</v>
      </c>
      <c r="H17" s="1533"/>
      <c r="J17" s="455">
        <v>46</v>
      </c>
    </row>
    <row r="18" ht="48.25" customHeight="1">
      <c r="A18" s="1475">
        <v>1</v>
      </c>
      <c r="B18" s="502"/>
      <c r="C18" s="1477"/>
      <c r="D18" s="1520" t="s">
        <v>90</v>
      </c>
      <c r="E18" s="1527" t="s">
        <v>1866</v>
      </c>
      <c r="F18" s="1526"/>
      <c r="G18" s="474" t="s">
        <v>1865</v>
      </c>
      <c r="H18" s="1533"/>
      <c r="I18" s="852"/>
      <c r="J18" s="455">
        <v>46</v>
      </c>
    </row>
    <row r="19" ht="23.25" customHeight="1">
      <c r="A19" s="502"/>
      <c r="B19" s="502"/>
      <c r="C19" s="457"/>
      <c r="D19" s="1520" t="s">
        <v>111</v>
      </c>
      <c r="E19" s="1527" t="s">
        <v>1867</v>
      </c>
      <c r="F19" s="1521" t="s">
        <v>308</v>
      </c>
      <c r="G19" s="2471" t="s">
        <v>1868</v>
      </c>
      <c r="H19" s="475"/>
      <c r="J19" s="455">
        <v>22</v>
      </c>
    </row>
    <row r="20" s="1530" customFormat="1" ht="5.25" hidden="1" customHeight="1">
      <c r="A20" s="502"/>
      <c r="B20" s="502"/>
      <c r="C20" s="1529"/>
      <c r="D20" s="1528" t="s">
        <v>1118</v>
      </c>
      <c r="E20" s="1014"/>
      <c r="F20" s="1013"/>
      <c r="G20" s="2472"/>
      <c r="J20" s="1530">
        <v>0</v>
      </c>
    </row>
    <row r="21" ht="15.75" customHeight="1">
      <c r="A21" s="502"/>
      <c r="B21" s="502"/>
      <c r="C21" s="457"/>
      <c r="D21" s="467"/>
      <c r="E21" s="415" t="s">
        <v>341</v>
      </c>
      <c r="F21" s="469"/>
      <c r="G21" s="2473"/>
      <c r="H21" s="1533"/>
      <c r="J21" s="455">
        <v>15</v>
      </c>
    </row>
    <row r="22" s="501" customFormat="1" ht="26.25" customHeight="1">
      <c r="A22" s="502"/>
      <c r="B22" s="502"/>
      <c r="C22" s="502"/>
      <c r="D22" s="1520" t="s">
        <v>91</v>
      </c>
      <c r="E22" s="474" t="s">
        <v>1869</v>
      </c>
      <c r="F22" s="1526"/>
      <c r="G22" s="474" t="s">
        <v>1870</v>
      </c>
      <c r="H22" s="1532"/>
      <c r="J22" s="501">
        <v>25</v>
      </c>
    </row>
    <row r="23" s="501" customFormat="1" ht="19.949999999999999" customHeight="1">
      <c r="A23" s="502"/>
      <c r="B23" s="502"/>
      <c r="C23" s="502"/>
      <c r="D23" s="1520" t="s">
        <v>92</v>
      </c>
      <c r="E23" s="1527" t="s">
        <v>1871</v>
      </c>
      <c r="F23" s="1531"/>
      <c r="G23" s="474" t="s">
        <v>1872</v>
      </c>
      <c r="H23" s="1532"/>
      <c r="J23" s="501">
        <v>19</v>
      </c>
    </row>
    <row r="24" s="501" customFormat="1" ht="144" hidden="1" customHeight="1">
      <c r="A24" s="502"/>
      <c r="B24" s="502"/>
      <c r="C24" s="502"/>
      <c r="D24" s="1520" t="s">
        <v>112</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 xml:space="preserve">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 xml:space="preserve">Указывается ссылка на документ, предварительно загруженный в хранилище файлов ФГИС ЕИАС.</v>
      </c>
      <c r="H24" s="1532"/>
      <c r="J24" s="501">
        <v>0</v>
      </c>
    </row>
    <row r="25" ht="11.25" hidden="1" customHeight="1">
      <c r="A25" s="501" t="s">
        <v>81</v>
      </c>
      <c r="B25" s="501">
        <v>0</v>
      </c>
      <c r="C25" s="455">
        <v>3</v>
      </c>
      <c r="D25" s="456">
        <v>6</v>
      </c>
      <c r="E25" s="455">
        <v>52</v>
      </c>
      <c r="F25" s="455">
        <v>48</v>
      </c>
      <c r="G25" s="455">
        <v>93</v>
      </c>
      <c r="H25" s="455">
        <v>8</v>
      </c>
      <c r="I25" s="455">
        <v>64</v>
      </c>
      <c r="J25" s="455">
        <v>11</v>
      </c>
    </row>
  </sheetData>
  <sheetProtection autoFilter="0" deleteColumns="0" deleteRows="0" formatColumns="0" formatRows="0" insertColumns="1" insertRows="0" sort="0"/>
  <mergeCells count="6">
    <mergeCell ref="G19:G21"/>
    <mergeCell ref="D5:F5"/>
    <mergeCell ref="D6:F6"/>
    <mergeCell ref="E8:F8"/>
    <mergeCell ref="D9:F9"/>
    <mergeCell ref="G9:G10"/>
  </mergeCells>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2">
        <x14:dataValidation xr:uid="{005400E9-0011-4CF9-9E42-0065002A0062}" type="textLength" allowBlank="1" error="Допускается ввод не более 900 символов!" errorTitle="Ошибка" operator="lessThanOrEqual" showErrorMessage="1" showInputMessage="1">
          <x14:formula1>
            <xm:f>900</xm:f>
          </x14:formula1>
          <xm:sqref>F12 F14:F18 F22:F23</xm:sqref>
        </x14:dataValidation>
        <x14:dataValidation xr:uid="{007900A4-0059-4942-8ED4-00DD00F90076}" type="textLength" allowBlank="1" error="Допускается ввод не более 900 символов!" errorTitle="Ошибка" operator="lessThanOrEqual" prompt="Введите ссылку на обосновывающие материалы, загруженные с помощью &quot;ЕИАС Web&quot;." showErrorMessage="1" showInputMessage="1">
          <x14:formula1>
            <xm:f>900</xm:f>
          </x14:formula1>
          <xm:sqref>F24</xm:sqref>
        </x14:dataValidation>
      </x14:dataValidations>
    </ext>
  </extLst>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GridLines="0" topLeftCell="A1" zoomScale="90" workbookViewId="0">
      <selection activeCell="A1" sqref="A1"/>
    </sheetView>
  </sheetViews>
  <sheetFormatPr defaultColWidth="9.140625" defaultRowHeight="14.25" customHeight="1"/>
  <cols>
    <col hidden="1" min="1" max="1" style="1635" width="9.140625"/>
    <col hidden="1" min="2" max="2" style="1366" width="9.140625"/>
    <col customWidth="1" hidden="1" min="3" max="3" style="1635" width="3.7109375"/>
    <col customWidth="1" min="4" max="4" style="1842" width="3.00390625"/>
    <col customWidth="1" min="5" max="5" style="1635" width="6.00390625"/>
    <col customWidth="1" min="6" max="6" style="1635" width="46.00390625"/>
    <col customWidth="1" min="7" max="8" style="1635" width="16.00390625"/>
    <col customWidth="1" min="9" max="9" style="1635" width="35.00390625"/>
    <col customWidth="1" min="10" max="10" style="1635" width="89.00390625"/>
    <col customWidth="1" min="11" max="11" style="1624" width="3.00390625"/>
    <col customWidth="1" min="12" max="14" style="1624" width="8.00390625"/>
    <col customWidth="1" min="15" max="15" style="1624" width="25.00390625"/>
    <col customWidth="1" min="16" max="16" style="1624" width="14.00390625"/>
    <col customWidth="1" min="17" max="20" style="225" width="8.00390625"/>
    <col customWidth="1" min="21" max="254" style="1635" width="8.00390625"/>
    <col hidden="1" min="255" max="255" style="1635" width="9.140625"/>
  </cols>
  <sheetData>
    <row r="1" ht="22.5" hidden="1" customHeight="1">
      <c r="F1" s="1631" t="s">
        <v>1873</v>
      </c>
      <c r="G1" s="1631" t="s">
        <v>48</v>
      </c>
      <c r="H1" s="1631" t="s">
        <v>50</v>
      </c>
      <c r="IU1" s="1155" t="s">
        <v>14</v>
      </c>
    </row>
    <row r="2" s="1850" customFormat="1" ht="22.5" hidden="1" customHeight="1">
      <c r="A2" s="831"/>
      <c r="B2" s="1160">
        <v>1</v>
      </c>
      <c r="C2" s="1160"/>
      <c r="D2" s="1928" t="s">
        <v>122</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r="3" s="1642" customFormat="1" ht="4.2000000000000002" customHeight="1">
      <c r="A3" s="496"/>
      <c r="D3" s="494"/>
      <c r="F3" s="247" t="s">
        <v>82</v>
      </c>
      <c r="G3" s="494" t="s">
        <v>83</v>
      </c>
      <c r="H3" s="494"/>
      <c r="I3" s="494"/>
      <c r="J3" s="227" t="s">
        <v>84</v>
      </c>
      <c r="K3" s="247" t="s">
        <v>82</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r="4" s="1819" customFormat="1" ht="14.65" customHeight="1">
      <c r="A4" s="1155"/>
      <c r="B4" s="1160"/>
      <c r="C4" s="1155"/>
      <c r="D4" s="1495"/>
      <c r="E4" s="509"/>
      <c r="F4" s="1642"/>
      <c r="G4" s="509"/>
      <c r="H4" s="509"/>
      <c r="I4" s="509"/>
      <c r="J4" s="166"/>
      <c r="K4" s="247"/>
      <c r="L4" s="500"/>
      <c r="M4" s="500"/>
      <c r="N4" s="500"/>
      <c r="O4" s="226"/>
      <c r="P4" s="500"/>
      <c r="Q4" s="225"/>
      <c r="R4" s="225"/>
      <c r="S4" s="225"/>
      <c r="T4" s="225"/>
      <c r="IU4" s="507">
        <v>14</v>
      </c>
    </row>
    <row r="5" s="1819" customFormat="1" ht="27.300000000000001" customHeight="1">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 xml:space="preserve">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0"/>
      <c r="G5" s="2100"/>
      <c r="H5" s="2100"/>
      <c r="I5" s="2100"/>
      <c r="J5" s="2100"/>
      <c r="K5" s="247"/>
      <c r="L5" s="500"/>
      <c r="M5" s="500"/>
      <c r="N5" s="500"/>
      <c r="O5" s="226"/>
      <c r="P5" s="500"/>
      <c r="Q5" s="225"/>
      <c r="R5" s="225"/>
      <c r="S5" s="225"/>
      <c r="T5" s="225"/>
      <c r="IU5" s="507">
        <v>26</v>
      </c>
    </row>
    <row r="6" s="1819" customFormat="1" ht="14.65" customHeight="1">
      <c r="A6" s="1155"/>
      <c r="B6" s="1160"/>
      <c r="C6" s="1155"/>
      <c r="D6" s="1495"/>
      <c r="E6" s="509"/>
      <c r="F6" s="167"/>
      <c r="G6" s="167"/>
      <c r="H6" s="167"/>
      <c r="I6" s="167"/>
      <c r="J6" s="168"/>
      <c r="K6" s="500"/>
      <c r="L6" s="500"/>
      <c r="M6" s="500"/>
      <c r="N6" s="500"/>
      <c r="O6" s="226"/>
      <c r="P6" s="500"/>
      <c r="Q6" s="225"/>
      <c r="R6" s="225"/>
      <c r="S6" s="225"/>
      <c r="T6" s="225"/>
      <c r="IU6" s="507">
        <v>14</v>
      </c>
    </row>
    <row r="7" s="1819" customFormat="1" ht="14.65" customHeight="1">
      <c r="A7" s="1155"/>
      <c r="B7" s="1160"/>
      <c r="C7" s="1155"/>
      <c r="D7" s="1495"/>
      <c r="E7" s="2101" t="s">
        <v>302</v>
      </c>
      <c r="F7" s="2102"/>
      <c r="G7" s="2102"/>
      <c r="H7" s="2102"/>
      <c r="I7" s="2102"/>
      <c r="J7" s="2474" t="s">
        <v>303</v>
      </c>
      <c r="K7" s="500"/>
      <c r="L7" s="500"/>
      <c r="M7" s="500"/>
      <c r="N7" s="500"/>
      <c r="O7" s="226"/>
      <c r="P7" s="500"/>
      <c r="Q7" s="225"/>
      <c r="R7" s="225"/>
      <c r="S7" s="225"/>
      <c r="T7" s="225"/>
      <c r="IU7" s="507">
        <v>14</v>
      </c>
    </row>
    <row r="8" s="1819" customFormat="1" ht="21" customHeight="1">
      <c r="A8" s="1155"/>
      <c r="B8" s="1160"/>
      <c r="C8" s="1155"/>
      <c r="D8" s="1495"/>
      <c r="E8" s="1548" t="s">
        <v>87</v>
      </c>
      <c r="F8" s="1540" t="s">
        <v>1873</v>
      </c>
      <c r="G8" s="1540" t="s">
        <v>48</v>
      </c>
      <c r="H8" s="1540" t="s">
        <v>50</v>
      </c>
      <c r="I8" s="1540" t="s">
        <v>1874</v>
      </c>
      <c r="J8" s="2475"/>
      <c r="K8" s="500"/>
      <c r="L8" s="500"/>
      <c r="M8" s="500"/>
      <c r="N8" s="500"/>
      <c r="O8" s="226"/>
      <c r="P8" s="500"/>
      <c r="Q8" s="225"/>
      <c r="R8" s="225"/>
      <c r="S8" s="225"/>
      <c r="T8" s="225"/>
      <c r="IU8" s="507">
        <v>20</v>
      </c>
    </row>
    <row r="9" s="1850" customFormat="1" ht="23.25" customHeight="1">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r="10" s="1850" customFormat="1" ht="15.75" customHeight="1">
      <c r="A10" s="1631"/>
      <c r="B10" s="1160"/>
      <c r="C10" s="412"/>
      <c r="D10" s="801"/>
      <c r="E10" s="1541"/>
      <c r="F10" s="1500" t="s">
        <v>1875</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r="11" s="1819" customFormat="1" ht="22" customHeight="1">
      <c r="A11" s="1155"/>
      <c r="B11" s="1160"/>
      <c r="C11" s="1155"/>
      <c r="D11" s="451"/>
      <c r="E11" s="180"/>
      <c r="F11" s="180"/>
      <c r="G11" s="180"/>
      <c r="H11" s="180"/>
      <c r="I11" s="180"/>
      <c r="J11" s="180"/>
      <c r="K11" s="500"/>
      <c r="L11" s="500"/>
      <c r="M11" s="500"/>
      <c r="N11" s="500"/>
      <c r="O11" s="226"/>
      <c r="P11" s="500"/>
      <c r="Q11" s="225"/>
      <c r="R11" s="225"/>
      <c r="S11" s="225"/>
      <c r="T11" s="225"/>
      <c r="IU11" s="507">
        <v>21</v>
      </c>
    </row>
    <row r="12" s="1819" customFormat="1" ht="14.65" customHeight="1">
      <c r="A12" s="1155"/>
      <c r="B12" s="1160"/>
      <c r="C12" s="1155"/>
      <c r="D12" s="451"/>
      <c r="E12" s="1155"/>
      <c r="F12" s="1155"/>
      <c r="G12" s="1155"/>
      <c r="H12" s="1155"/>
      <c r="I12" s="1155"/>
      <c r="J12" s="1155"/>
      <c r="K12" s="500"/>
      <c r="L12" s="500"/>
      <c r="M12" s="500"/>
      <c r="N12" s="500"/>
      <c r="O12" s="226"/>
      <c r="P12" s="500"/>
      <c r="Q12" s="225"/>
      <c r="R12" s="225"/>
      <c r="S12" s="225"/>
      <c r="T12" s="225"/>
      <c r="IU12" s="507">
        <v>14</v>
      </c>
    </row>
    <row r="13" s="1819" customFormat="1" ht="1.05" customHeight="1">
      <c r="A13" s="1155"/>
      <c r="B13" s="1160"/>
      <c r="C13" s="1155"/>
      <c r="D13" s="451"/>
      <c r="E13" s="1155"/>
      <c r="F13" s="1155"/>
      <c r="G13" s="1155"/>
      <c r="H13" s="1155"/>
      <c r="I13" s="1155"/>
      <c r="J13" s="1155"/>
      <c r="K13" s="500"/>
      <c r="L13" s="500"/>
      <c r="M13" s="500"/>
      <c r="N13" s="500"/>
      <c r="O13" s="226"/>
      <c r="P13" s="500"/>
      <c r="Q13" s="225"/>
      <c r="R13" s="225"/>
      <c r="S13" s="225"/>
      <c r="T13" s="225"/>
      <c r="IU13" s="507">
        <v>1</v>
      </c>
    </row>
    <row r="14" s="1064" customFormat="1" ht="10.5" customHeight="1">
      <c r="B14" s="834"/>
      <c r="D14" s="182"/>
      <c r="K14" s="500"/>
      <c r="L14" s="500"/>
      <c r="M14" s="500"/>
      <c r="N14" s="500"/>
      <c r="O14" s="226"/>
      <c r="P14" s="500"/>
      <c r="Q14" s="225"/>
      <c r="R14" s="225"/>
      <c r="S14" s="225"/>
      <c r="T14" s="225"/>
      <c r="IU14" s="181">
        <v>10</v>
      </c>
    </row>
    <row r="15" s="1064" customFormat="1" ht="10.5" customHeight="1">
      <c r="B15" s="834"/>
      <c r="D15" s="182"/>
      <c r="K15" s="500"/>
      <c r="L15" s="500"/>
      <c r="M15" s="500"/>
      <c r="N15" s="500"/>
      <c r="O15" s="226"/>
      <c r="P15" s="500"/>
      <c r="Q15" s="225"/>
      <c r="R15" s="225"/>
      <c r="S15" s="225"/>
      <c r="T15" s="225"/>
      <c r="IU15" s="181">
        <v>10</v>
      </c>
    </row>
    <row r="16" ht="14.65" customHeight="1">
      <c r="IU16" s="1155">
        <v>14</v>
      </c>
    </row>
    <row r="17" ht="14.65" customHeight="1">
      <c r="IU17" s="1155">
        <v>14</v>
      </c>
    </row>
    <row r="18" ht="14.65" customHeight="1">
      <c r="IU18" s="1155">
        <v>14</v>
      </c>
    </row>
    <row r="19" ht="14.65" customHeight="1">
      <c r="G19" s="373"/>
      <c r="H19" s="373"/>
      <c r="I19" s="373"/>
      <c r="IU19" s="1155">
        <v>14</v>
      </c>
    </row>
    <row r="20" ht="14.65" customHeight="1">
      <c r="IU20" s="1155">
        <v>14</v>
      </c>
    </row>
    <row r="21" ht="14.65" customHeight="1">
      <c r="IU21" s="1155">
        <v>14</v>
      </c>
    </row>
    <row r="22" ht="14.65" customHeight="1">
      <c r="IU22" s="1155">
        <v>14</v>
      </c>
    </row>
    <row r="23" ht="14.65" customHeight="1">
      <c r="K23" s="1155"/>
      <c r="L23" s="1155"/>
      <c r="M23" s="1155"/>
      <c r="IU23" s="1155">
        <v>14</v>
      </c>
    </row>
    <row r="24" ht="22.5" hidden="1" customHeight="1">
      <c r="A24" s="1155" t="s">
        <v>81</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autoFilter="0" deleteColumns="0" deleteRows="0" formatColumns="0" formatRows="0" insertColumns="1" insertRows="0" sort="0"/>
  <mergeCells count="4">
    <mergeCell ref="E5:J5"/>
    <mergeCell ref="E7:I7"/>
    <mergeCell ref="J7:J8"/>
    <mergeCell ref="J9:J10"/>
  </mergeCells>
  <pageMargins left="0.69999999999999996" right="0.69999999999999996" top="0.75" bottom="0.75" header="0.29999999999999999" footer="0.29999999999999999"/>
  <pageSetup paperSize="9"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2">
        <x14:dataValidation xr:uid="{00670099-00FA-4783-9C4F-008E002E00A5}" type="textLength" allowBlank="1" showErrorMessage="1" showInputMessage="1">
          <x14:formula1>
            <xm:f>13</xm:f>
          </x14:formula1>
          <x14:formula2>
            <xm:f>15</xm:f>
          </x14:formula2>
          <xm:sqref>I3</xm:sqref>
        </x14:dataValidation>
        <x14:dataValidation xr:uid="{009E0036-0018-4F3C-8CCD-0092008200D5}" type="textLength" allowBlank="1" prompt="ОГРН состоит из 13 цифр, ОГРНИП - из 15" showErrorMessage="1" showInputMessage="1">
          <x14:formula1>
            <xm:f>13</xm:f>
          </x14:formula1>
          <x14:formula2>
            <xm:f>15</xm:f>
          </x14:formula2>
          <xm:sqref>I9 I2</xm:sqref>
        </x14:dataValidation>
      </x14:dataValidations>
    </ext>
  </extLst>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GridLines="0" topLeftCell="A1" zoomScale="90" workbookViewId="0">
      <selection activeCell="A1" sqref="A1"/>
    </sheetView>
  </sheetViews>
  <sheetFormatPr defaultColWidth="9.140625" defaultRowHeight="14.25" customHeight="1"/>
  <cols>
    <col hidden="1" min="1" max="1" style="1635" width="9.140625"/>
    <col hidden="1" min="2" max="2" style="1366" width="9.140625"/>
    <col customWidth="1" hidden="1" min="3" max="3" style="1635" width="3.7109375"/>
    <col customWidth="1" min="4" max="4" style="1842" width="3.00390625"/>
    <col customWidth="1" min="5" max="5" style="1635" width="6.00390625"/>
    <col customWidth="1" min="6" max="6" style="1635" width="27.00390625"/>
    <col customWidth="1" min="7" max="7" style="1635" width="16.00390625"/>
    <col customWidth="1" min="8" max="8" style="1635" width="12.00390625"/>
    <col customWidth="1" min="9" max="9" style="1635" width="32.00390625"/>
    <col customWidth="1" min="10" max="11" style="1635" width="41.00390625"/>
    <col customWidth="1" min="12" max="12" style="1635" width="89.00390625"/>
    <col customWidth="1" min="13" max="13" style="1624" width="3.00390625"/>
    <col customWidth="1" min="14" max="16" style="1624" width="8.00390625"/>
    <col customWidth="1" min="17" max="17" style="1624" width="25.00390625"/>
    <col customWidth="1" min="18" max="18" style="1624" width="14.00390625"/>
    <col customWidth="1" min="19" max="22" style="225" width="8.00390625"/>
    <col customWidth="1" min="23" max="256" style="1635" width="8.00390625"/>
    <col hidden="1" min="257" max="257" style="1635" width="9.140625"/>
  </cols>
  <sheetData>
    <row r="1" ht="22.5" hidden="1" customHeight="1">
      <c r="IW1" s="1155" t="s">
        <v>14</v>
      </c>
    </row>
    <row r="2" s="1850" customFormat="1" ht="22.5" hidden="1" customHeight="1">
      <c r="A2" s="831"/>
      <c r="B2" s="1160">
        <v>1</v>
      </c>
      <c r="C2" s="1160"/>
      <c r="D2" s="1928" t="s">
        <v>122</v>
      </c>
      <c r="E2" s="1889"/>
      <c r="F2" s="1892" t="str">
        <f>IF(ROIV_INFO_NAME="","",ROIV_INFO_NAME)</f>
        <v xml:space="preserve">филиал ПАО "ОГК-2" - Рязанская ГРЭС</v>
      </c>
      <c r="G2" s="1917" t="s">
        <v>22</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r="3" s="1642" customFormat="1" ht="5.25" hidden="1" customHeight="1">
      <c r="A3" s="496"/>
      <c r="D3" s="494"/>
      <c r="F3" s="247" t="s">
        <v>82</v>
      </c>
      <c r="G3" s="1735" t="s">
        <v>83</v>
      </c>
      <c r="H3" s="494"/>
      <c r="I3" s="494"/>
      <c r="J3" s="494"/>
      <c r="K3" s="494"/>
      <c r="L3" s="227" t="s">
        <v>84</v>
      </c>
      <c r="M3" s="247" t="s">
        <v>82</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r="4" s="1819" customFormat="1" ht="14.65" customHeight="1">
      <c r="A4" s="1155"/>
      <c r="B4" s="1160"/>
      <c r="C4" s="1155"/>
      <c r="D4" s="1495"/>
      <c r="E4" s="509"/>
      <c r="F4" s="509"/>
      <c r="G4" s="509"/>
      <c r="H4" s="509"/>
      <c r="I4" s="509"/>
      <c r="J4" s="509"/>
      <c r="K4" s="509"/>
      <c r="L4" s="166"/>
      <c r="M4" s="247"/>
      <c r="N4" s="500"/>
      <c r="O4" s="500"/>
      <c r="P4" s="500"/>
      <c r="Q4" s="226"/>
      <c r="R4" s="500"/>
      <c r="S4" s="225"/>
      <c r="T4" s="225"/>
      <c r="U4" s="225"/>
      <c r="V4" s="225"/>
      <c r="IW4" s="507">
        <v>14</v>
      </c>
    </row>
    <row r="5" s="1819" customFormat="1" ht="27.300000000000001" customHeight="1">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 xml:space="preserve">Форма 3. Информация о рассмотрении дел об установлении тарифов в сфере водоотведения</v>
      </c>
      <c r="F5" s="2100"/>
      <c r="G5" s="2100"/>
      <c r="H5" s="2100"/>
      <c r="I5" s="2100"/>
      <c r="J5" s="2100"/>
      <c r="K5" s="2100"/>
      <c r="L5" s="588"/>
      <c r="M5" s="247"/>
      <c r="N5" s="500"/>
      <c r="O5" s="500"/>
      <c r="P5" s="500"/>
      <c r="Q5" s="226"/>
      <c r="R5" s="500"/>
      <c r="S5" s="225"/>
      <c r="T5" s="225"/>
      <c r="U5" s="225"/>
      <c r="V5" s="225"/>
      <c r="IW5" s="507">
        <v>26</v>
      </c>
    </row>
    <row r="6" s="1819" customFormat="1" ht="14.65" customHeight="1">
      <c r="A6" s="1155"/>
      <c r="B6" s="1160"/>
      <c r="C6" s="1155"/>
      <c r="D6" s="1495"/>
      <c r="E6" s="509"/>
      <c r="F6" s="167"/>
      <c r="G6" s="167"/>
      <c r="H6" s="167"/>
      <c r="I6" s="167"/>
      <c r="J6" s="167"/>
      <c r="K6" s="167"/>
      <c r="L6" s="168"/>
      <c r="M6" s="500"/>
      <c r="N6" s="500"/>
      <c r="O6" s="500"/>
      <c r="P6" s="500"/>
      <c r="Q6" s="226"/>
      <c r="R6" s="500"/>
      <c r="S6" s="225"/>
      <c r="T6" s="225"/>
      <c r="U6" s="225"/>
      <c r="V6" s="225"/>
      <c r="IW6" s="507">
        <v>14</v>
      </c>
    </row>
    <row r="7" s="1819" customFormat="1" ht="14.65" customHeight="1">
      <c r="A7" s="1155"/>
      <c r="B7" s="1160"/>
      <c r="C7" s="1155"/>
      <c r="D7" s="1495"/>
      <c r="E7" s="2101" t="s">
        <v>302</v>
      </c>
      <c r="F7" s="2102"/>
      <c r="G7" s="2102"/>
      <c r="H7" s="2102"/>
      <c r="I7" s="2102"/>
      <c r="J7" s="2102"/>
      <c r="K7" s="2102"/>
      <c r="L7" s="2474" t="s">
        <v>303</v>
      </c>
      <c r="M7" s="500"/>
      <c r="N7" s="500"/>
      <c r="O7" s="500"/>
      <c r="P7" s="500"/>
      <c r="Q7" s="226"/>
      <c r="R7" s="500"/>
      <c r="S7" s="225"/>
      <c r="T7" s="225"/>
      <c r="U7" s="225"/>
      <c r="V7" s="225"/>
      <c r="IW7" s="507">
        <v>14</v>
      </c>
    </row>
    <row r="8" s="1819" customFormat="1" ht="67.200000000000003" customHeight="1">
      <c r="A8" s="1155"/>
      <c r="B8" s="1160"/>
      <c r="C8" s="1155"/>
      <c r="D8" s="1495"/>
      <c r="E8" s="2478" t="s">
        <v>87</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 xml:space="preserve">Наименование органа регулирования тарифов</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 xml:space="preserve">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 xml:space="preserve">Принятые органом регулирования тарифов решения об установлении тарифов в сфере водоснабжения и водоотведения</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 xml:space="preserve">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500"/>
      <c r="N8" s="500"/>
      <c r="O8" s="500"/>
      <c r="P8" s="500"/>
      <c r="Q8" s="226"/>
      <c r="R8" s="500"/>
      <c r="S8" s="225"/>
      <c r="T8" s="225"/>
      <c r="U8" s="225"/>
      <c r="V8" s="225"/>
      <c r="IW8" s="507">
        <v>64</v>
      </c>
    </row>
    <row r="9" s="1819" customFormat="1" ht="29.25" customHeight="1">
      <c r="A9" s="1155"/>
      <c r="B9" s="1160"/>
      <c r="C9" s="1155"/>
      <c r="D9" s="1495"/>
      <c r="E9" s="2479"/>
      <c r="F9" s="2479"/>
      <c r="G9" s="1537" t="s">
        <v>1876</v>
      </c>
      <c r="H9" s="1537" t="s">
        <v>1877</v>
      </c>
      <c r="I9" s="1537" t="s">
        <v>1878</v>
      </c>
      <c r="J9" s="2479"/>
      <c r="K9" s="2479"/>
      <c r="L9" s="2475"/>
      <c r="M9" s="500"/>
      <c r="N9" s="500"/>
      <c r="O9" s="500"/>
      <c r="P9" s="500"/>
      <c r="Q9" s="226"/>
      <c r="R9" s="500"/>
      <c r="S9" s="225"/>
      <c r="T9" s="225"/>
      <c r="U9" s="225"/>
      <c r="V9" s="225"/>
      <c r="IW9" s="507">
        <v>28</v>
      </c>
    </row>
    <row r="10" s="1850" customFormat="1" ht="23.25" customHeight="1">
      <c r="A10" s="2099"/>
      <c r="B10" s="1160">
        <v>1</v>
      </c>
      <c r="C10" s="1160"/>
      <c r="D10" s="800"/>
      <c r="E10" s="798">
        <v>1</v>
      </c>
      <c r="F10" s="1539" t="str">
        <f>IF(ROIV_INFO_NAME="","",ROIV_INFO_NAME)</f>
        <v xml:space="preserve">филиал ПАО "ОГК-2" - Рязанская ГРЭС</v>
      </c>
      <c r="G10" s="1732" t="s">
        <v>22</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 xml:space="preserve">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 xml:space="preserve">(В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r="11" s="1850" customFormat="1" ht="15.75" customHeight="1">
      <c r="A11" s="2099"/>
      <c r="B11" s="1160"/>
      <c r="C11" s="412"/>
      <c r="D11" s="801"/>
      <c r="E11" s="421"/>
      <c r="F11" s="416" t="s">
        <v>1879</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r="12" s="1819" customFormat="1" ht="22" customHeight="1">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r="13" s="1819" customFormat="1" ht="14.65" customHeight="1">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r="14" s="1819" customFormat="1" ht="1.05" customHeight="1">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r="15" ht="22.5" hidden="1" customHeight="1">
      <c r="A15" s="1155" t="s">
        <v>81</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autoFilter="0" deleteColumns="0" deleteRows="0" formatColumns="0" formatRows="0" insertColumns="1" insertRows="0" sort="0"/>
  <mergeCells count="10">
    <mergeCell ref="L7:L9"/>
    <mergeCell ref="E7:K7"/>
    <mergeCell ref="A10:A11"/>
    <mergeCell ref="L10:L11"/>
    <mergeCell ref="E5:K5"/>
    <mergeCell ref="F8:F9"/>
    <mergeCell ref="E8:E9"/>
    <mergeCell ref="G8:I8"/>
    <mergeCell ref="J8:J9"/>
    <mergeCell ref="K8:K9"/>
  </mergeCells>
  <dataValidations count="1">
    <dataValidation sqref="G2:G3 G10" allowBlank="1" prompt="Выберите дату из календаря (иконка справа от указанной ячейки), либо введите дату непосредственно в ячейку в формате - 'ДД.ММ.ГГГГ'." showErrorMessage="1" showInputMessage="1"/>
  </dataValidations>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x14:dataValidation xr:uid="{00220090-0032-43AC-8125-0049009B0043}" type="textLength" allowBlank="1" showErrorMessage="1" showInputMessage="1">
          <x14:formula1>
            <xm:f>13</xm:f>
          </x14:formula1>
          <x14:formula2>
            <xm:f>15</xm:f>
          </x14:formula2>
          <xm:sqref>H3:I3</xm:sqref>
        </x14:dataValidation>
        <x14:dataValidation xr:uid="{006C00E7-004C-4CC6-A85E-00A8006D002B}" type="textLength" allowBlank="1" error="Допускается ввод не более 900 символов!" errorTitle="Ошибка" operator="lessThanOrEqual" prompt="Введите ссылку на обосновывающие материалы, загруженные с помощью &quot;ЕИАС Web&quot;." showErrorMessage="1" showInputMessage="1">
          <x14:formula1>
            <xm:f>900</xm:f>
          </x14:formula1>
          <xm:sqref>J10:K10 J2:K3</xm:sqref>
        </x14:dataValidation>
        <x14:dataValidation xr:uid="{00440065-00D4-446F-B4FE-003B0075007A}" type="time" allowBlank="1" prompt="Укажите время в формате ЧЧ:ММ" showErrorMessage="1" showInputMessage="1">
          <x14:formula1>
            <xm:f>0</xm:f>
          </x14:formula1>
          <x14:formula2>
            <xm:f>0.9993055555555556</xm:f>
          </x14:formula2>
          <xm:sqref>H10 H2</xm:sqref>
        </x14:dataValidation>
        <x14:dataValidation xr:uid="{00530030-0032-4F10-A874-00FC00F80056}" type="textLength" allowBlank="1" operator="lessThanOrEqual" showErrorMessage="1" showInputMessage="1">
          <x14:formula1>
            <xm:f>990</xm:f>
          </x14:formula1>
          <xm:sqref>I10 I2</xm:sqref>
        </x14:dataValidation>
      </x14:dataValidations>
    </ext>
  </extLst>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GridLines="0" topLeftCell="A1" zoomScale="90" workbookViewId="0">
      <selection activeCell="A1" sqref="A1"/>
    </sheetView>
  </sheetViews>
  <sheetFormatPr defaultColWidth="9.140625" defaultRowHeight="14.25" customHeight="1"/>
  <cols>
    <col hidden="1" min="1" max="1" style="1635" width="9.140625"/>
    <col hidden="1" min="2" max="2" style="1366" width="9.140625"/>
    <col customWidth="1" hidden="1" min="3" max="3" style="1635" width="3.7109375"/>
    <col customWidth="1" min="4" max="4" style="1842" width="3.00390625"/>
    <col customWidth="1" min="5" max="5" style="1635" width="6.00390625"/>
    <col customWidth="1" min="6" max="6" style="1635" width="27.00390625"/>
    <col customWidth="1" min="7" max="7" style="1635" width="16.00390625"/>
    <col customWidth="1" min="8" max="8" style="1635" width="12.00390625"/>
    <col customWidth="1" min="9" max="9" style="1635" width="32.00390625"/>
    <col customWidth="1" min="10" max="11" style="1635" width="41.00390625"/>
    <col customWidth="1" min="12" max="12" style="1635" width="89.00390625"/>
    <col customWidth="1" min="13" max="13" style="1624" width="3.00390625"/>
    <col customWidth="1" min="14" max="16" style="1624" width="8.00390625"/>
    <col customWidth="1" min="17" max="17" style="1624" width="25.00390625"/>
    <col customWidth="1" min="18" max="18" style="1624" width="14.00390625"/>
    <col customWidth="1" min="19" max="22" style="225" width="8.00390625"/>
    <col customWidth="1" min="23" max="256" style="1635" width="8.00390625"/>
    <col hidden="1" min="257" max="257" style="1635" width="9.140625"/>
  </cols>
  <sheetData>
    <row r="1" ht="22.5" hidden="1" customHeight="1">
      <c r="IW1" s="1631" t="s">
        <v>14</v>
      </c>
    </row>
    <row r="2" s="1850" customFormat="1" ht="22.5" hidden="1" customHeight="1">
      <c r="A2" s="831"/>
      <c r="B2" s="1366">
        <v>1</v>
      </c>
      <c r="C2" s="1366"/>
      <c r="D2" s="1928" t="s">
        <v>122</v>
      </c>
      <c r="E2" s="1904"/>
      <c r="F2" s="1906" t="str">
        <f>IF(ROIV_INFO_NAME="","",ROIV_INFO_NAME)</f>
        <v xml:space="preserve">филиал ПАО "ОГК-2" - Рязанская ГРЭС</v>
      </c>
      <c r="G2" s="1732" t="s">
        <v>22</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r="3" s="1642" customFormat="1" ht="5.25" hidden="1" customHeight="1">
      <c r="A3" s="1641"/>
      <c r="D3" s="1893"/>
      <c r="F3" s="248" t="s">
        <v>82</v>
      </c>
      <c r="G3" s="1735" t="s">
        <v>83</v>
      </c>
      <c r="H3" s="1893"/>
      <c r="I3" s="1893"/>
      <c r="J3" s="1893"/>
      <c r="K3" s="1893"/>
      <c r="L3" s="227" t="s">
        <v>84</v>
      </c>
      <c r="M3" s="248" t="s">
        <v>82</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r="4" s="1819" customFormat="1" ht="14.65" customHeight="1">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r="5" s="1819" customFormat="1" ht="27.300000000000001" customHeight="1">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 xml:space="preserve">Форма 3. Информация о рассмотрении дел об установлении тарифов в сфере водоотведения</v>
      </c>
      <c r="F5" s="2100"/>
      <c r="G5" s="2100"/>
      <c r="H5" s="2100"/>
      <c r="I5" s="2100"/>
      <c r="J5" s="2100"/>
      <c r="K5" s="2100"/>
      <c r="L5" s="1635"/>
      <c r="M5" s="248"/>
      <c r="N5" s="1624"/>
      <c r="O5" s="1624"/>
      <c r="P5" s="1624"/>
      <c r="Q5" s="1624"/>
      <c r="R5" s="1624"/>
      <c r="S5" s="225"/>
      <c r="T5" s="225"/>
      <c r="U5" s="225"/>
      <c r="V5" s="225"/>
      <c r="IW5" s="1609">
        <v>26</v>
      </c>
    </row>
    <row r="6" s="1819" customFormat="1" ht="14.65" customHeight="1">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r="7" s="1819" customFormat="1" ht="14.65" customHeight="1">
      <c r="A7" s="1631"/>
      <c r="B7" s="1366"/>
      <c r="C7" s="1631"/>
      <c r="D7" s="1515"/>
      <c r="E7" s="2101" t="s">
        <v>302</v>
      </c>
      <c r="F7" s="2102"/>
      <c r="G7" s="2102"/>
      <c r="H7" s="2102"/>
      <c r="I7" s="2102"/>
      <c r="J7" s="2102"/>
      <c r="K7" s="2102"/>
      <c r="L7" s="2474" t="s">
        <v>303</v>
      </c>
      <c r="M7" s="1624"/>
      <c r="N7" s="1624"/>
      <c r="O7" s="1624"/>
      <c r="P7" s="1624"/>
      <c r="Q7" s="1624"/>
      <c r="R7" s="1624"/>
      <c r="S7" s="225"/>
      <c r="T7" s="225"/>
      <c r="U7" s="225"/>
      <c r="V7" s="225"/>
      <c r="IW7" s="1609">
        <v>14</v>
      </c>
    </row>
    <row r="8" s="1819" customFormat="1" ht="67.200000000000003" customHeight="1">
      <c r="A8" s="1631"/>
      <c r="B8" s="1366"/>
      <c r="C8" s="1631"/>
      <c r="D8" s="1515"/>
      <c r="E8" s="2478" t="s">
        <v>87</v>
      </c>
      <c r="F8" s="2478" t="s">
        <v>1880</v>
      </c>
      <c r="G8" s="2480" t="s">
        <v>1881</v>
      </c>
      <c r="H8" s="2481"/>
      <c r="I8" s="2482"/>
      <c r="J8" s="2478" t="s">
        <v>1882</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 xml:space="preserve">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1624"/>
      <c r="N8" s="1624"/>
      <c r="O8" s="1624"/>
      <c r="P8" s="1624"/>
      <c r="Q8" s="1624"/>
      <c r="R8" s="1624"/>
      <c r="S8" s="225"/>
      <c r="T8" s="225"/>
      <c r="U8" s="225"/>
      <c r="V8" s="225"/>
      <c r="IW8" s="1609">
        <v>64</v>
      </c>
    </row>
    <row r="9" s="1819" customFormat="1" ht="29.25" customHeight="1">
      <c r="A9" s="1631"/>
      <c r="B9" s="1366"/>
      <c r="C9" s="1631"/>
      <c r="D9" s="1515"/>
      <c r="E9" s="2479"/>
      <c r="F9" s="2479"/>
      <c r="G9" s="1894" t="s">
        <v>1876</v>
      </c>
      <c r="H9" s="1894" t="s">
        <v>1877</v>
      </c>
      <c r="I9" s="1894" t="s">
        <v>1878</v>
      </c>
      <c r="J9" s="2479"/>
      <c r="K9" s="2479"/>
      <c r="L9" s="2475"/>
      <c r="M9" s="1624"/>
      <c r="N9" s="1624"/>
      <c r="O9" s="1624"/>
      <c r="P9" s="1624"/>
      <c r="Q9" s="1624"/>
      <c r="R9" s="1624"/>
      <c r="S9" s="225"/>
      <c r="T9" s="225"/>
      <c r="U9" s="225"/>
      <c r="V9" s="225"/>
      <c r="IW9" s="1609">
        <v>28</v>
      </c>
    </row>
    <row r="10" s="1850" customFormat="1" ht="1.05" customHeight="1">
      <c r="A10" s="2099"/>
      <c r="B10" s="1366">
        <v>1</v>
      </c>
      <c r="C10" s="1366"/>
      <c r="D10" s="800"/>
      <c r="E10" s="795">
        <v>0</v>
      </c>
      <c r="F10" s="1891" t="str">
        <f>IF(ROIV_INFO_NAME="","",ROIV_INFO_NAME)</f>
        <v xml:space="preserve">филиал ПАО "ОГК-2" - Рязанская ГРЭС</v>
      </c>
      <c r="G10" s="1733" t="s">
        <v>22</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 xml:space="preserve">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 xml:space="preserve">(В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r="11" s="1850" customFormat="1" ht="15.75" customHeight="1">
      <c r="A11" s="2099"/>
      <c r="B11" s="1366"/>
      <c r="C11" s="412"/>
      <c r="D11" s="801"/>
      <c r="E11" s="421"/>
      <c r="F11" s="651" t="s">
        <v>1879</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r="12" s="1819" customFormat="1" ht="22" customHeight="1">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r="13" s="1819" customFormat="1" ht="14.65" customHeight="1">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r="14" s="1819" customFormat="1" ht="1.05" customHeight="1">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r="15" ht="22.5" hidden="1" customHeight="1">
      <c r="A15" s="1631" t="s">
        <v>81</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autoFilter="0" deleteColumns="0" deleteRows="0" insertColumns="1" insertRows="0" sort="0"/>
  <mergeCells count="10">
    <mergeCell ref="A10:A11"/>
    <mergeCell ref="L10:L11"/>
    <mergeCell ref="E5:K5"/>
    <mergeCell ref="E7:K7"/>
    <mergeCell ref="L7:L9"/>
    <mergeCell ref="E8:E9"/>
    <mergeCell ref="F8:F9"/>
    <mergeCell ref="G8:I8"/>
    <mergeCell ref="J8:J9"/>
    <mergeCell ref="K8:K9"/>
  </mergeCells>
  <dataValidations count="1">
    <dataValidation sqref="G2:G3" allowBlank="1" prompt="Выберите дату из календаря (иконка справа от указанной ячейки), либо введите дату непосредственно в ячейку в формате - 'ДД.ММ.ГГГГ'." showErrorMessage="1" showInputMessage="1"/>
  </dataValidations>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x14:dataValidation xr:uid="{00D6009B-001F-4FAB-9286-008F007900CD}" type="textLength" allowBlank="1" error="Допускается ввод не более 900 символов!" errorTitle="Ошибка" operator="lessThanOrEqual" prompt="Введите ссылку на обосновывающие материалы, загруженные с помощью &quot;ЕИАС Web&quot;." showErrorMessage="1" showInputMessage="1">
          <x14:formula1>
            <xm:f>900</xm:f>
          </x14:formula1>
          <xm:sqref>J2:K3</xm:sqref>
        </x14:dataValidation>
        <x14:dataValidation xr:uid="{000A00BF-002B-4A8F-85FB-00440043008D}" type="textLength" allowBlank="1" showErrorMessage="1" showInputMessage="1">
          <x14:formula1>
            <xm:f>13</xm:f>
          </x14:formula1>
          <x14:formula2>
            <xm:f>15</xm:f>
          </x14:formula2>
          <xm:sqref>H3:I3</xm:sqref>
        </x14:dataValidation>
        <x14:dataValidation xr:uid="{00240053-006D-4BCE-BE62-000800FA00A0}" type="textLength" allowBlank="1" operator="lessThanOrEqual" showErrorMessage="1" showInputMessage="1">
          <x14:formula1>
            <xm:f>990</xm:f>
          </x14:formula1>
          <xm:sqref>I2</xm:sqref>
        </x14:dataValidation>
        <x14:dataValidation xr:uid="{005000C9-00E6-4A82-B7DC-00B600500065}" type="time" allowBlank="1" prompt="Укажите время в формате ЧЧ:ММ" showErrorMessage="1" showInputMessage="1">
          <x14:formula1>
            <xm:f>0</xm:f>
          </x14:formula1>
          <x14:formula2>
            <xm:f>0.9993055555555556</xm:f>
          </x14:formula2>
          <xm:sqref>H2</xm:sqref>
        </x14:dataValidation>
      </x14:dataValidations>
    </ext>
  </extLst>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GridLines="0" topLeftCell="A1" zoomScale="90" workbookViewId="0">
      <selection activeCell="A1" sqref="A1"/>
    </sheetView>
  </sheetViews>
  <sheetFormatPr defaultColWidth="9.140625" defaultRowHeight="14.25" customHeight="1"/>
  <cols>
    <col hidden="1" min="1" max="1" style="1635" width="9.140625"/>
    <col hidden="1" min="2" max="2" style="1366" width="9.140625"/>
    <col customWidth="1" hidden="1" min="3" max="3" style="1635" width="3.7109375"/>
    <col customWidth="1" min="4" max="4" style="1842" width="3.00390625"/>
    <col customWidth="1" min="5" max="5" style="1635" width="6.00390625"/>
    <col customWidth="1" min="6" max="6" style="1635" width="27.00390625"/>
    <col customWidth="1" min="7" max="7" style="1635" width="29.00390625"/>
    <col customWidth="1" min="8" max="8" style="1635" width="25.00390625"/>
    <col customWidth="1" min="9" max="9" style="1635" width="5.00390625"/>
    <col customWidth="1" min="10" max="10" style="1635" width="6.00390625"/>
    <col customWidth="1" min="11" max="11" style="1635" width="41.00390625"/>
    <col customWidth="1" min="12" max="12" style="1635" width="42.00390625"/>
    <col customWidth="1" min="13" max="13" style="1635" width="41.00390625"/>
    <col customWidth="1" min="14" max="14" style="1635" width="89.00390625"/>
    <col customWidth="1" min="15" max="15" style="1624" width="3.00390625"/>
    <col customWidth="1" min="16" max="16" style="1624" width="8.00390625"/>
    <col hidden="1" min="17" max="17" style="1635" width="9.140625"/>
  </cols>
  <sheetData>
    <row r="1" ht="22.5" hidden="1" customHeight="1">
      <c r="Q1" s="1155" t="s">
        <v>14</v>
      </c>
    </row>
    <row r="2" s="1850" customFormat="1" ht="22.5" hidden="1" customHeight="1">
      <c r="A2" s="496"/>
      <c r="B2" s="1160">
        <v>1</v>
      </c>
      <c r="C2" s="1160"/>
      <c r="D2" s="1928" t="s">
        <v>122</v>
      </c>
      <c r="E2" s="2127">
        <v>1</v>
      </c>
      <c r="F2" s="2303" t="str">
        <f>IF(region_name="","",region_name)</f>
        <v xml:space="preserve">Рязанская область</v>
      </c>
      <c r="G2" s="2483"/>
      <c r="H2" s="2484"/>
      <c r="I2" s="474"/>
      <c r="J2" s="1910">
        <v>1</v>
      </c>
      <c r="K2" s="1912"/>
      <c r="L2" s="1912"/>
      <c r="M2" s="1912"/>
      <c r="N2" s="492"/>
      <c r="O2" s="1535"/>
      <c r="P2" s="511"/>
      <c r="Q2" s="423">
        <v>0</v>
      </c>
    </row>
    <row r="3" s="1850" customFormat="1" ht="22.5" hidden="1" customHeight="1">
      <c r="A3" s="831"/>
      <c r="B3" s="1160"/>
      <c r="C3" s="1160"/>
      <c r="D3" s="801"/>
      <c r="E3" s="2127"/>
      <c r="F3" s="2303"/>
      <c r="G3" s="2483"/>
      <c r="H3" s="2485"/>
      <c r="I3" s="421"/>
      <c r="J3" s="1500"/>
      <c r="K3" s="1500" t="s">
        <v>1883</v>
      </c>
      <c r="L3" s="1543"/>
      <c r="M3" s="1920"/>
      <c r="N3" s="1913"/>
      <c r="O3" s="1535"/>
      <c r="P3" s="511"/>
      <c r="Q3" s="423">
        <v>0</v>
      </c>
    </row>
    <row r="4" s="1642" customFormat="1" ht="5.25" hidden="1" customHeight="1">
      <c r="A4" s="496"/>
      <c r="D4" s="494"/>
      <c r="F4" s="247" t="s">
        <v>82</v>
      </c>
      <c r="G4" s="494" t="s">
        <v>83</v>
      </c>
      <c r="H4" s="494"/>
      <c r="I4" s="1923"/>
      <c r="J4" s="1544"/>
      <c r="K4" s="1911"/>
      <c r="L4" s="1911"/>
      <c r="M4" s="1911"/>
      <c r="N4" s="1907"/>
      <c r="O4" s="247" t="s">
        <v>82</v>
      </c>
      <c r="P4" s="247"/>
      <c r="Q4" s="511">
        <v>0</v>
      </c>
    </row>
    <row r="5" s="1850" customFormat="1" ht="22.5" hidden="1" customHeight="1">
      <c r="A5" s="1641"/>
      <c r="B5" s="1366">
        <v>1</v>
      </c>
      <c r="C5" s="1366"/>
      <c r="D5" s="801"/>
      <c r="E5" s="1913"/>
      <c r="F5" s="1913"/>
      <c r="G5" s="1913"/>
      <c r="H5" s="1924"/>
      <c r="I5" s="1929" t="s">
        <v>122</v>
      </c>
      <c r="J5" s="1922">
        <v>1</v>
      </c>
      <c r="K5" s="1912"/>
      <c r="L5" s="1912"/>
      <c r="M5" s="1912"/>
      <c r="N5" s="492"/>
      <c r="O5" s="1535"/>
      <c r="P5" s="1636"/>
      <c r="Q5" s="624">
        <v>0</v>
      </c>
    </row>
    <row r="6" s="1819" customFormat="1" ht="14.65" customHeight="1">
      <c r="A6" s="1155"/>
      <c r="B6" s="1160"/>
      <c r="C6" s="1155"/>
      <c r="D6" s="1495"/>
      <c r="E6" s="509"/>
      <c r="F6" s="509"/>
      <c r="G6" s="509"/>
      <c r="H6" s="509"/>
      <c r="I6" s="509"/>
      <c r="J6" s="509"/>
      <c r="K6" s="509"/>
      <c r="L6" s="509"/>
      <c r="M6" s="509"/>
      <c r="N6" s="1635"/>
      <c r="O6" s="247"/>
      <c r="P6" s="500"/>
      <c r="Q6" s="507">
        <v>14</v>
      </c>
    </row>
    <row r="7" s="1819" customFormat="1" ht="27.300000000000001" customHeight="1">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 xml:space="preserve">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r="8" s="1819" customFormat="1" ht="14.65" customHeight="1">
      <c r="A8" s="1155"/>
      <c r="B8" s="1160"/>
      <c r="C8" s="1155"/>
      <c r="D8" s="1495"/>
      <c r="E8" s="509"/>
      <c r="F8" s="167"/>
      <c r="G8" s="167"/>
      <c r="H8" s="167"/>
      <c r="I8" s="167"/>
      <c r="J8" s="167"/>
      <c r="K8" s="167"/>
      <c r="L8" s="167"/>
      <c r="M8" s="167"/>
      <c r="N8" s="616"/>
      <c r="O8" s="500"/>
      <c r="P8" s="500"/>
      <c r="Q8" s="507">
        <v>14</v>
      </c>
    </row>
    <row r="9" s="1546" customFormat="1" ht="14.25" hidden="1" customHeight="1">
      <c r="A9" s="1468"/>
      <c r="B9" s="1478"/>
      <c r="C9" s="1468"/>
      <c r="D9" s="1495"/>
      <c r="E9" s="1914"/>
      <c r="F9" s="1914"/>
      <c r="G9" s="1914"/>
      <c r="H9" s="1914"/>
      <c r="I9" s="2493"/>
      <c r="J9" s="2493"/>
      <c r="K9" s="2493"/>
      <c r="L9" s="1914"/>
      <c r="M9" s="1915"/>
      <c r="O9" s="1545"/>
      <c r="P9" s="1545"/>
      <c r="Q9" s="1546">
        <v>0</v>
      </c>
    </row>
    <row r="10" s="1819" customFormat="1" ht="14.65" customHeight="1">
      <c r="A10" s="1155"/>
      <c r="B10" s="1160"/>
      <c r="C10" s="1155"/>
      <c r="D10" s="1495"/>
      <c r="E10" s="2127" t="s">
        <v>302</v>
      </c>
      <c r="F10" s="2127"/>
      <c r="G10" s="2127"/>
      <c r="H10" s="2127"/>
      <c r="I10" s="2127"/>
      <c r="J10" s="2127"/>
      <c r="K10" s="2127"/>
      <c r="L10" s="2127"/>
      <c r="M10" s="2101"/>
      <c r="N10" s="2478" t="s">
        <v>303</v>
      </c>
      <c r="O10" s="500"/>
      <c r="P10" s="500"/>
      <c r="Q10" s="507">
        <v>14</v>
      </c>
    </row>
    <row r="11" s="1819" customFormat="1" ht="44.25" customHeight="1">
      <c r="A11" s="1631"/>
      <c r="B11" s="1366"/>
      <c r="C11" s="1631"/>
      <c r="D11" s="1515"/>
      <c r="E11" s="2492" t="s">
        <v>87</v>
      </c>
      <c r="F11" s="2492" t="s">
        <v>306</v>
      </c>
      <c r="G11" s="2492" t="s">
        <v>1884</v>
      </c>
      <c r="H11" s="2492"/>
      <c r="I11" s="2492" t="s">
        <v>1885</v>
      </c>
      <c r="J11" s="2492"/>
      <c r="K11" s="2492"/>
      <c r="L11" s="2492" t="s">
        <v>1886</v>
      </c>
      <c r="M11" s="2480" t="s">
        <v>1887</v>
      </c>
      <c r="N11" s="2491"/>
      <c r="O11" s="1624"/>
      <c r="P11" s="1624"/>
      <c r="Q11" s="1609">
        <v>42</v>
      </c>
    </row>
    <row r="12" s="1819" customFormat="1" ht="29.25" customHeight="1">
      <c r="A12" s="1155"/>
      <c r="B12" s="1160"/>
      <c r="C12" s="1155"/>
      <c r="D12" s="1495"/>
      <c r="E12" s="2478"/>
      <c r="F12" s="2492"/>
      <c r="G12" s="1909" t="s">
        <v>1888</v>
      </c>
      <c r="H12" s="1909" t="s">
        <v>310</v>
      </c>
      <c r="I12" s="2492"/>
      <c r="J12" s="2492"/>
      <c r="K12" s="2492"/>
      <c r="L12" s="2492"/>
      <c r="M12" s="2480"/>
      <c r="N12" s="2479"/>
      <c r="O12" s="500"/>
      <c r="P12" s="500"/>
      <c r="Q12" s="507">
        <v>28</v>
      </c>
    </row>
    <row r="13" s="1850" customFormat="1" ht="23.25" customHeight="1">
      <c r="A13" s="2099">
        <v>26379339</v>
      </c>
      <c r="B13" s="1160">
        <v>1</v>
      </c>
      <c r="C13" s="1160"/>
      <c r="D13" s="801"/>
      <c r="E13" s="2127">
        <v>1</v>
      </c>
      <c r="F13" s="2486" t="str">
        <f>IF(region_name="","",region_name)</f>
        <v xml:space="preserve">Рязанская область</v>
      </c>
      <c r="G13" s="2487"/>
      <c r="H13" s="2494"/>
      <c r="I13" s="474"/>
      <c r="J13" s="1905">
        <v>1</v>
      </c>
      <c r="K13" s="1918"/>
      <c r="L13" s="1919"/>
      <c r="M13" s="1919"/>
      <c r="N13" s="2488" t="s">
        <v>1889</v>
      </c>
      <c r="O13" s="1535"/>
      <c r="P13" s="511"/>
      <c r="Q13" s="423">
        <v>22</v>
      </c>
    </row>
    <row r="14" s="1850" customFormat="1" ht="23.25" customHeight="1">
      <c r="A14" s="2099"/>
      <c r="B14" s="1160"/>
      <c r="C14" s="1160"/>
      <c r="D14" s="801"/>
      <c r="E14" s="2127"/>
      <c r="F14" s="2486"/>
      <c r="G14" s="2487"/>
      <c r="H14" s="2495"/>
      <c r="I14" s="421"/>
      <c r="J14" s="1500"/>
      <c r="K14" s="1500" t="s">
        <v>1883</v>
      </c>
      <c r="L14" s="1543"/>
      <c r="M14" s="1543"/>
      <c r="N14" s="2489"/>
      <c r="O14" s="1535"/>
      <c r="P14" s="511"/>
      <c r="Q14" s="423">
        <v>22</v>
      </c>
    </row>
    <row r="15" s="1850" customFormat="1" ht="23.25" customHeight="1">
      <c r="A15" s="2099"/>
      <c r="B15" s="1160"/>
      <c r="C15" s="412"/>
      <c r="D15" s="801"/>
      <c r="E15" s="421"/>
      <c r="F15" s="1500" t="s">
        <v>1875</v>
      </c>
      <c r="G15" s="1542"/>
      <c r="H15" s="1542"/>
      <c r="I15" s="187"/>
      <c r="J15" s="187"/>
      <c r="K15" s="187"/>
      <c r="L15" s="187"/>
      <c r="M15" s="187"/>
      <c r="N15" s="2489"/>
      <c r="O15" s="1536"/>
      <c r="P15" s="511"/>
      <c r="Q15" s="423">
        <v>22</v>
      </c>
    </row>
    <row r="16" s="1819" customFormat="1" ht="22" customHeight="1">
      <c r="A16" s="1155"/>
      <c r="B16" s="1160"/>
      <c r="C16" s="1155"/>
      <c r="D16" s="451"/>
      <c r="E16" s="180"/>
      <c r="F16" s="180"/>
      <c r="G16" s="180"/>
      <c r="H16" s="180"/>
      <c r="I16" s="180"/>
      <c r="J16" s="180"/>
      <c r="K16" s="180"/>
      <c r="L16" s="180"/>
      <c r="M16" s="509"/>
      <c r="N16" s="1635"/>
      <c r="O16" s="500"/>
      <c r="P16" s="500"/>
      <c r="Q16" s="507">
        <v>21</v>
      </c>
    </row>
    <row r="17" s="1819" customFormat="1" ht="14.65" customHeight="1">
      <c r="A17" s="1155"/>
      <c r="B17" s="1160"/>
      <c r="C17" s="1155"/>
      <c r="D17" s="451"/>
      <c r="E17" s="1155"/>
      <c r="F17" s="1155"/>
      <c r="G17" s="1155"/>
      <c r="H17" s="1155"/>
      <c r="I17" s="1155"/>
      <c r="J17" s="1155"/>
      <c r="K17" s="1155"/>
      <c r="L17" s="1155"/>
      <c r="M17" s="1155"/>
      <c r="N17" s="1631"/>
      <c r="O17" s="500"/>
      <c r="P17" s="500"/>
      <c r="Q17" s="507">
        <v>14</v>
      </c>
    </row>
    <row r="18" s="1819" customFormat="1" ht="1.05" customHeight="1">
      <c r="A18" s="1155"/>
      <c r="B18" s="1160"/>
      <c r="C18" s="1155"/>
      <c r="D18" s="451"/>
      <c r="E18" s="1155"/>
      <c r="F18" s="1155"/>
      <c r="G18" s="1155"/>
      <c r="H18" s="1155"/>
      <c r="I18" s="1155"/>
      <c r="J18" s="1155"/>
      <c r="K18" s="1155"/>
      <c r="L18" s="1155"/>
      <c r="M18" s="1155"/>
      <c r="N18" s="1631"/>
      <c r="O18" s="500"/>
      <c r="P18" s="500"/>
      <c r="Q18" s="507">
        <v>1</v>
      </c>
    </row>
    <row r="19" ht="22.5" hidden="1" customHeight="1">
      <c r="A19" s="1155" t="s">
        <v>81</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autoFilter="0" deleteColumns="0" deleteRows="0" formatColumns="0" formatRows="0" insertColumns="1" insertRows="0" sort="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2">
        <x14:dataValidation xr:uid="{000500E1-0065-4778-A00A-00C90059005F}" type="textLength" allowBlank="1" error="Допускается ввод не более 900 символов!" errorTitle="Ошибка" operator="lessThanOrEqual" prompt="Введите ссылку на обосновывающие материалы, загруженные с помощью &quot;ЕИАС Web" showErrorMessage="1" showInputMessage="1">
          <x14:formula1>
            <xm:f>900</xm:f>
          </x14:formula1>
          <xm:sqref>M4</xm:sqref>
        </x14:dataValidation>
        <x14:dataValidation xr:uid="{00F00042-0018-4E50-BD07-0059002500A8}" type="textLength" allowBlank="1" error="Допускается ввод не более 900 символов!" errorTitle="Ошибка" operator="lessThanOrEqual" prompt="Введите ссылку на обосновывающие материалы, загруженные с помощью &quot;ЕИАС Web&quot;." showErrorMessage="1" showInputMessage="1">
          <x14:formula1>
            <xm:f>900</xm:f>
          </x14:formula1>
          <xm:sqref>L4</xm:sqref>
        </x14:dataValidation>
      </x14:dataValidations>
    </ext>
  </extLst>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rgb="FFEAEBEE"/>
    <pageSetUpPr fitToPage="1"/>
  </sheetPr>
  <sheetViews>
    <sheetView showGridLines="0" topLeftCell="A1" zoomScale="90" workbookViewId="0">
      <selection activeCell="A1" sqref="A1"/>
    </sheetView>
  </sheetViews>
  <sheetFormatPr defaultColWidth="9.140625" defaultRowHeight="14.25" customHeight="1"/>
  <cols>
    <col hidden="1" min="1" max="1" style="358" width="9.140625"/>
    <col hidden="1" min="2" max="2" style="1823" width="9.140625"/>
    <col customWidth="1" min="3" max="3" style="120" width="3.00390625"/>
    <col customWidth="1" min="4" max="4" style="1823" width="6.00390625"/>
    <col customWidth="1" min="5" max="5" style="1823" width="22.00390625"/>
    <col customWidth="1" min="6" max="6" style="1823" width="15.00390625"/>
    <col customWidth="1" min="7" max="7" style="1823" width="14.00390625"/>
    <col customWidth="1" min="8" max="8" style="1823" width="47.00390625"/>
    <col customWidth="1" min="9" max="9" style="1823" width="115.00390625"/>
    <col customWidth="1" min="10" max="10" style="1823" width="3.00390625"/>
    <col customWidth="1" min="11" max="12" style="1823" width="8.00390625"/>
    <col hidden="1" min="13" max="13" style="1823" width="9.140625"/>
  </cols>
  <sheetData>
    <row r="1" ht="14.25" hidden="1" customHeight="1">
      <c r="M1" s="121" t="s">
        <v>14</v>
      </c>
    </row>
    <row r="2" ht="14.25" hidden="1" customHeight="1">
      <c r="M2" s="121">
        <v>0</v>
      </c>
    </row>
    <row r="3" ht="14.25" hidden="1" customHeight="1">
      <c r="M3" s="121">
        <v>0</v>
      </c>
    </row>
    <row r="4" ht="3" customHeight="1">
      <c r="M4" s="121">
        <v>3</v>
      </c>
    </row>
    <row r="5" s="1635" customFormat="1" ht="31.5" customHeight="1">
      <c r="A5" s="115"/>
      <c r="C5" s="90"/>
      <c r="D5" s="2100" t="s">
        <v>1890</v>
      </c>
      <c r="E5" s="2100"/>
      <c r="F5" s="2100"/>
      <c r="G5" s="2100"/>
      <c r="H5" s="2100"/>
      <c r="I5" s="265"/>
      <c r="M5" s="83">
        <v>30</v>
      </c>
    </row>
    <row r="6" ht="3" hidden="1" customHeight="1">
      <c r="D6" s="122"/>
      <c r="E6" s="122"/>
      <c r="F6" s="122"/>
      <c r="G6" s="122"/>
      <c r="H6" s="122"/>
      <c r="I6" s="122"/>
      <c r="M6" s="121">
        <v>0</v>
      </c>
    </row>
    <row r="7" s="358" customFormat="1" ht="14.65" customHeight="1">
      <c r="B7" s="119"/>
      <c r="C7" s="120"/>
      <c r="D7" s="123"/>
      <c r="E7" s="123"/>
      <c r="F7" s="123"/>
      <c r="G7" s="123"/>
      <c r="H7" s="752"/>
      <c r="I7" s="123"/>
      <c r="J7" s="124"/>
      <c r="M7" s="118">
        <v>14</v>
      </c>
    </row>
    <row r="8" ht="14.65" customHeight="1">
      <c r="D8" s="2209" t="s">
        <v>302</v>
      </c>
      <c r="E8" s="2209"/>
      <c r="F8" s="2209"/>
      <c r="G8" s="2209"/>
      <c r="H8" s="2209"/>
      <c r="I8" s="2209" t="s">
        <v>303</v>
      </c>
      <c r="M8" s="121">
        <v>14</v>
      </c>
    </row>
    <row r="9" ht="29.25" customHeight="1">
      <c r="D9" s="2209" t="s">
        <v>87</v>
      </c>
      <c r="E9" s="2209" t="s">
        <v>1891</v>
      </c>
      <c r="F9" s="2209"/>
      <c r="G9" s="2209"/>
      <c r="H9" s="2209"/>
      <c r="I9" s="2209"/>
      <c r="M9" s="121">
        <v>28</v>
      </c>
    </row>
    <row r="10" ht="24" customHeight="1">
      <c r="D10" s="2209"/>
      <c r="E10" s="127" t="s">
        <v>1892</v>
      </c>
      <c r="F10" s="127" t="s">
        <v>1893</v>
      </c>
      <c r="G10" s="127" t="s">
        <v>1894</v>
      </c>
      <c r="H10" s="127" t="s">
        <v>392</v>
      </c>
      <c r="I10" s="2209"/>
      <c r="M10" s="121">
        <v>23</v>
      </c>
    </row>
    <row r="11" ht="12" hidden="1" customHeight="1">
      <c r="D11" s="87" t="s">
        <v>109</v>
      </c>
      <c r="E11" s="87" t="s">
        <v>90</v>
      </c>
      <c r="F11" s="87" t="s">
        <v>111</v>
      </c>
      <c r="G11" s="87" t="s">
        <v>91</v>
      </c>
      <c r="H11" s="87" t="s">
        <v>92</v>
      </c>
      <c r="I11" s="87" t="s">
        <v>112</v>
      </c>
      <c r="M11" s="121">
        <v>0</v>
      </c>
    </row>
    <row r="12" s="1823" customFormat="1" ht="26.25" customHeight="1">
      <c r="A12" s="145" t="s">
        <v>89</v>
      </c>
      <c r="B12" s="125" t="s">
        <v>22</v>
      </c>
      <c r="C12" s="126"/>
      <c r="D12" s="128" t="s">
        <v>109</v>
      </c>
      <c r="E12" s="381"/>
      <c r="F12" s="381"/>
      <c r="G12" s="1734" t="s">
        <v>22</v>
      </c>
      <c r="H12" s="382"/>
      <c r="I12" s="2169" t="s">
        <v>1895</v>
      </c>
      <c r="K12" s="272"/>
      <c r="L12" s="273"/>
      <c r="M12" s="117">
        <v>25</v>
      </c>
    </row>
    <row r="13" ht="15.75" customHeight="1">
      <c r="A13" s="121"/>
      <c r="B13" s="121"/>
      <c r="C13" s="121"/>
      <c r="D13" s="109"/>
      <c r="E13" s="130" t="s">
        <v>470</v>
      </c>
      <c r="F13" s="129"/>
      <c r="G13" s="129"/>
      <c r="H13" s="214"/>
      <c r="I13" s="2171"/>
      <c r="M13" s="121">
        <v>15</v>
      </c>
    </row>
    <row r="14" ht="3" customHeight="1">
      <c r="A14" s="121"/>
      <c r="B14" s="121"/>
      <c r="C14" s="121"/>
      <c r="M14" s="121">
        <v>3</v>
      </c>
    </row>
    <row r="15" ht="29.25" customHeight="1">
      <c r="E15" s="2496" t="s">
        <v>1896</v>
      </c>
      <c r="F15" s="2496"/>
      <c r="G15" s="2496"/>
      <c r="H15" s="2496"/>
      <c r="M15" s="121">
        <v>28</v>
      </c>
    </row>
    <row r="16" ht="14.25" hidden="1" customHeight="1">
      <c r="A16" s="118" t="s">
        <v>81</v>
      </c>
      <c r="B16" s="119">
        <v>0</v>
      </c>
      <c r="C16" s="120">
        <v>3</v>
      </c>
      <c r="D16" s="121">
        <v>6</v>
      </c>
      <c r="E16" s="121">
        <v>22</v>
      </c>
      <c r="F16" s="121">
        <v>15</v>
      </c>
      <c r="G16" s="121">
        <v>14</v>
      </c>
      <c r="H16" s="121">
        <v>47</v>
      </c>
      <c r="I16" s="121">
        <v>115</v>
      </c>
      <c r="J16" s="121">
        <v>3</v>
      </c>
      <c r="K16" s="121">
        <v>8</v>
      </c>
      <c r="L16" s="121">
        <v>8</v>
      </c>
      <c r="M16" s="121">
        <v>14</v>
      </c>
    </row>
  </sheetData>
  <sheetProtection autoFilter="0" deleteColumns="0" deleteRows="0" formatColumns="0" formatRows="0" insertColumns="1" insertRows="0" sort="0"/>
  <mergeCells count="7">
    <mergeCell ref="E15:H15"/>
    <mergeCell ref="D5:H5"/>
    <mergeCell ref="I12:I13"/>
    <mergeCell ref="D8:H8"/>
    <mergeCell ref="I8:I10"/>
    <mergeCell ref="E9:H9"/>
    <mergeCell ref="D9:D10"/>
  </mergeCells>
  <dataValidations count="1">
    <dataValidation sqref="G12" allowBlank="1" prompt="Выберите дату из календаря (иконка справа от указанной ячейки), либо введите дату непосредственно в ячейку в формате - 'ДД.ММ.ГГГГ'." showErrorMessage="1" showInputMessage="1"/>
  </dataValidations>
  <pageMargins left="0.24000000000000002" right="0.24000000000000002" top="0.24000000000000002" bottom="0.24000000000000002" header="0.24000000000000002" footer="0.24000000000000002"/>
  <pageSetup paperSize="9" scale="70" fitToHeight="0" pageOrder="downThenOver" orientation="landscape"/>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2">
        <x14:dataValidation xr:uid="{001D0006-0052-4DB7-8ADC-00FF004A0013}" type="textLength" allowBlank="1" error="Допускается ввод не более 900 символов!" errorTitle="Ошибка" operator="lessThanOrEqual" prompt="Введите ссылку на обосновывающие материалы, загруженные с помощью &quot;ЕИАС Web&quot;." showErrorMessage="1" showInputMessage="1">
          <x14:formula1>
            <xm:f>900</xm:f>
          </x14:formula1>
          <xm:sqref>H12</xm:sqref>
        </x14:dataValidation>
        <x14:dataValidation xr:uid="{00020075-005C-4BA3-9A36-009300BC00A2}" type="textLength" allowBlank="1" error="Допускается ввод не более 900 символов!" errorTitle="Ошибка" operator="lessThanOrEqual" showErrorMessage="1" showInputMessage="1">
          <x14:formula1>
            <xm:f>900</xm:f>
          </x14:formula1>
          <xm:sqref>E12:F12</xm:sqref>
        </x14:dataValidation>
      </x14:dataValidations>
    </ext>
  </extLst>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31"/>
    <pageSetUpPr fitToPage="1"/>
  </sheetPr>
  <sheetViews>
    <sheetView showGridLines="0" topLeftCell="A1" zoomScale="90" workbookViewId="0">
      <selection activeCell="A1" sqref="A1"/>
    </sheetView>
  </sheetViews>
  <sheetFormatPr defaultColWidth="9.140625" defaultRowHeight="14.25" customHeight="1"/>
  <cols>
    <col hidden="1" min="1" max="2" style="264" width="9.140625"/>
    <col customWidth="1" min="3" max="3" style="91" width="3.00390625"/>
    <col customWidth="1" min="4" max="4" style="264" width="6.00390625"/>
    <col customWidth="1" min="5" max="5" style="264" width="94.00390625"/>
    <col customWidth="1" min="6" max="9" style="264" width="8.00390625"/>
    <col hidden="1" min="10" max="10" style="264" width="9.140625"/>
  </cols>
  <sheetData>
    <row r="1" ht="14.25" hidden="1" customHeight="1">
      <c r="J1" s="69" t="s">
        <v>14</v>
      </c>
    </row>
    <row r="2" ht="14.25" hidden="1" customHeight="1">
      <c r="J2" s="69">
        <v>0</v>
      </c>
    </row>
    <row r="3" ht="14.25" hidden="1" customHeight="1">
      <c r="J3" s="69">
        <v>0</v>
      </c>
    </row>
    <row r="4" ht="14.25" hidden="1" customHeight="1">
      <c r="J4" s="69">
        <v>0</v>
      </c>
    </row>
    <row r="5" ht="14.25" hidden="1" customHeight="1">
      <c r="J5" s="69">
        <v>0</v>
      </c>
    </row>
    <row r="6" ht="3" customHeight="1">
      <c r="C6" s="92"/>
      <c r="D6" s="70"/>
      <c r="E6" s="70"/>
      <c r="J6" s="69">
        <v>3</v>
      </c>
    </row>
    <row r="7" ht="23.25" customHeight="1">
      <c r="C7" s="92"/>
      <c r="D7" s="2497" t="s">
        <v>1897</v>
      </c>
      <c r="E7" s="2498"/>
      <c r="F7" s="267"/>
      <c r="J7" s="69">
        <v>22</v>
      </c>
    </row>
    <row r="8" ht="3" customHeight="1">
      <c r="C8" s="92"/>
      <c r="D8" s="70"/>
      <c r="E8" s="70"/>
      <c r="J8" s="69">
        <v>3</v>
      </c>
    </row>
    <row r="9" ht="16.800000000000001" customHeight="1">
      <c r="C9" s="92"/>
      <c r="D9" s="105" t="s">
        <v>87</v>
      </c>
      <c r="E9" s="260" t="s">
        <v>1898</v>
      </c>
      <c r="J9" s="69">
        <v>16</v>
      </c>
    </row>
    <row r="10" ht="1.05" customHeight="1">
      <c r="C10" s="92"/>
      <c r="D10" s="87"/>
      <c r="E10" s="87"/>
      <c r="J10" s="69">
        <v>1</v>
      </c>
    </row>
    <row r="11" ht="11.25" hidden="1" customHeight="1">
      <c r="C11" s="92"/>
      <c r="D11" s="150">
        <v>0</v>
      </c>
      <c r="E11" s="261"/>
      <c r="J11" s="69">
        <v>0</v>
      </c>
    </row>
    <row r="12" ht="15.75" customHeight="1">
      <c r="C12" s="136"/>
      <c r="D12" s="113">
        <v>1</v>
      </c>
      <c r="E12" s="377"/>
      <c r="J12" s="69">
        <v>15</v>
      </c>
    </row>
    <row r="13" ht="12.75" customHeight="1">
      <c r="C13" s="92"/>
      <c r="D13" s="262"/>
      <c r="E13" s="263" t="s">
        <v>1899</v>
      </c>
      <c r="J13" s="69">
        <v>12</v>
      </c>
    </row>
    <row r="14" ht="3" customHeight="1">
      <c r="J14" s="69">
        <v>3</v>
      </c>
    </row>
    <row r="15" ht="23.25" customHeight="1">
      <c r="C15" s="137"/>
      <c r="D15" s="2499" t="s">
        <v>1900</v>
      </c>
      <c r="E15" s="2499"/>
      <c r="F15" s="138"/>
      <c r="G15" s="138"/>
      <c r="H15" s="138"/>
      <c r="I15" s="138"/>
      <c r="J15" s="69">
        <v>22</v>
      </c>
    </row>
    <row r="16" ht="14.25" hidden="1" customHeight="1">
      <c r="A16" s="69" t="s">
        <v>81</v>
      </c>
      <c r="B16" s="69">
        <v>0</v>
      </c>
      <c r="C16" s="91">
        <v>3</v>
      </c>
      <c r="D16" s="69">
        <v>6</v>
      </c>
      <c r="E16" s="69">
        <v>94</v>
      </c>
      <c r="F16" s="69">
        <v>8</v>
      </c>
      <c r="G16" s="69">
        <v>8</v>
      </c>
      <c r="H16" s="69">
        <v>8</v>
      </c>
      <c r="I16" s="69">
        <v>8</v>
      </c>
      <c r="J16" s="69">
        <v>14</v>
      </c>
    </row>
  </sheetData>
  <sheetProtection autoFilter="0" deleteColumns="0" deleteRows="0" formatColumns="0" formatRows="0" insertColumns="1" insertRows="0" sort="0"/>
  <mergeCells count="2">
    <mergeCell ref="D7:E7"/>
    <mergeCell ref="D15:E15"/>
  </mergeCells>
  <pageMargins left="0.75" right="0.75" top="1" bottom="1" header="0.5" footer="0.5"/>
  <pageSetup paperSize="9" scale="94"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1">
        <x14:dataValidation xr:uid="{004C0033-00EE-4CA3-BAD8-000D003E00B5}" type="textLength" allowBlank="1" error="Допускается ввод не более 900 символов!" errorTitle="Ошибка" operator="lessThanOrEqual" showErrorMessage="1" showInputMessage="1">
          <x14:formula1>
            <xm:f>900</xm:f>
          </x14:formula1>
          <xm:sqref>E11:E12</xm:sqref>
        </x14:dataValidation>
      </x14:dataValidations>
    </ext>
  </extLst>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31"/>
    <pageSetUpPr fitToPage="1"/>
  </sheetPr>
  <sheetViews>
    <sheetView showGridLines="0" topLeftCell="A1" zoomScale="90" workbookViewId="0">
      <selection activeCell="A1" sqref="A1"/>
    </sheetView>
  </sheetViews>
  <sheetFormatPr defaultColWidth="9.140625" defaultRowHeight="14.25" customHeight="1"/>
  <cols>
    <col hidden="1" min="1" max="2" style="264" width="9.140625"/>
    <col customWidth="1" min="3" max="3" style="91" width="3.00390625"/>
    <col customWidth="1" min="4" max="4" style="264" width="6.00390625"/>
    <col customWidth="1" min="5" max="5" style="264" width="94.00390625"/>
    <col customWidth="1" min="6" max="12" style="264" width="8.00390625"/>
    <col hidden="1" min="13" max="13" style="264" width="9.140625"/>
  </cols>
  <sheetData>
    <row r="1" ht="14.25" hidden="1" customHeight="1">
      <c r="L1" s="264"/>
      <c r="M1" s="69" t="s">
        <v>14</v>
      </c>
    </row>
    <row r="2" ht="14.25" hidden="1" customHeight="1">
      <c r="M2" s="69">
        <v>0</v>
      </c>
    </row>
    <row r="3" ht="14.25" hidden="1" customHeight="1">
      <c r="M3" s="69">
        <v>0</v>
      </c>
    </row>
    <row r="4" ht="14.25" hidden="1" customHeight="1">
      <c r="M4" s="69">
        <v>0</v>
      </c>
    </row>
    <row r="5" ht="14.25" hidden="1" customHeight="1">
      <c r="M5" s="69">
        <v>0</v>
      </c>
    </row>
    <row r="6" ht="3" customHeight="1">
      <c r="C6" s="92"/>
      <c r="D6" s="70"/>
      <c r="E6" s="70"/>
      <c r="M6" s="69">
        <v>3</v>
      </c>
    </row>
    <row r="7" ht="23.25" customHeight="1">
      <c r="C7" s="92"/>
      <c r="D7" s="2100" t="s">
        <v>1901</v>
      </c>
      <c r="E7" s="2100"/>
      <c r="F7" s="267"/>
      <c r="M7" s="69">
        <v>22</v>
      </c>
    </row>
    <row r="8" ht="3" customHeight="1">
      <c r="C8" s="92"/>
      <c r="D8" s="70"/>
      <c r="E8" s="70"/>
      <c r="M8" s="69">
        <v>3</v>
      </c>
    </row>
    <row r="9" ht="16.800000000000001" customHeight="1">
      <c r="C9" s="92"/>
      <c r="D9" s="105" t="s">
        <v>87</v>
      </c>
      <c r="E9" s="108" t="s">
        <v>289</v>
      </c>
      <c r="M9" s="69">
        <v>16</v>
      </c>
    </row>
    <row r="10" ht="12.75" customHeight="1">
      <c r="C10" s="92"/>
      <c r="D10" s="87" t="s">
        <v>109</v>
      </c>
      <c r="E10" s="87" t="s">
        <v>110</v>
      </c>
      <c r="M10" s="69">
        <v>12</v>
      </c>
    </row>
    <row r="11" ht="15" hidden="1" customHeight="1">
      <c r="C11" s="92"/>
      <c r="D11" s="113">
        <v>0</v>
      </c>
      <c r="E11" s="149"/>
      <c r="M11" s="69">
        <v>0</v>
      </c>
    </row>
    <row r="12" ht="14.65" customHeight="1">
      <c r="C12" s="92"/>
      <c r="D12" s="109"/>
      <c r="E12" s="107" t="s">
        <v>1899</v>
      </c>
      <c r="M12" s="69">
        <v>14</v>
      </c>
    </row>
    <row r="13" ht="14.25" hidden="1" customHeight="1">
      <c r="A13" s="69" t="s">
        <v>81</v>
      </c>
      <c r="B13" s="69">
        <v>0</v>
      </c>
      <c r="C13" s="91">
        <v>3</v>
      </c>
      <c r="D13" s="69">
        <v>6</v>
      </c>
      <c r="E13" s="69">
        <v>94</v>
      </c>
      <c r="F13" s="69">
        <v>8</v>
      </c>
      <c r="G13" s="69">
        <v>8</v>
      </c>
      <c r="H13" s="69">
        <v>8</v>
      </c>
      <c r="I13" s="69">
        <v>8</v>
      </c>
      <c r="J13" s="69">
        <v>8</v>
      </c>
      <c r="K13" s="69">
        <v>8</v>
      </c>
      <c r="L13" s="69">
        <v>8</v>
      </c>
      <c r="M13" s="69">
        <v>14</v>
      </c>
    </row>
  </sheetData>
  <sheetProtection autoFilter="0" deleteColumns="0" deleteRows="0" formatColumns="0" formatRows="0" insertColumns="1" insertRows="0" sort="0"/>
  <mergeCells count="1">
    <mergeCell ref="D7:E7"/>
  </mergeCells>
  <pageMargins left="0.75" right="0.75" top="1" bottom="1" header="0.5" footer="0.5"/>
  <pageSetup paperSize="9" scale="94"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1">
        <x14:dataValidation xr:uid="{00B80053-00C6-43A5-9931-0084008C0013}" type="textLength" allowBlank="1" error="Допускается ввод не более 900 символов!" errorTitle="Ошибка" operator="lessThanOrEqual" showErrorMessage="1" showInputMessage="1">
          <x14:formula1>
            <xm:f>900</xm:f>
          </x14:formula1>
          <xm:sqref>E11</xm:sqref>
        </x14:dataValidation>
      </x14:dataValidations>
    </ext>
  </extLst>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31"/>
  </sheetPr>
  <sheetViews>
    <sheetView showGridLines="0" topLeftCell="A1" zoomScale="90" workbookViewId="0">
      <selection activeCell="A1" sqref="A1"/>
    </sheetView>
  </sheetViews>
  <sheetFormatPr defaultColWidth="9.140625" defaultRowHeight="11.25" customHeight="1"/>
  <cols>
    <col customWidth="1" min="1" max="1" style="1850" width="1.7109375"/>
    <col customWidth="1" min="2" max="2" style="1850" width="34.57421875"/>
    <col customWidth="1" min="3" max="3" style="1850" width="85.00390625"/>
    <col customWidth="1" min="4" max="4" style="1850" width="17.00390625"/>
    <col customWidth="1" min="5" max="5" style="1850" width="8.00390625"/>
    <col hidden="1" min="6" max="6" style="1850" width="9.140625"/>
  </cols>
  <sheetData>
    <row r="1" ht="3" customHeight="1">
      <c r="F1" s="89" t="s">
        <v>14</v>
      </c>
    </row>
    <row r="2" ht="22.5" customHeight="1">
      <c r="B2" s="2613" t="s">
        <v>1902</v>
      </c>
      <c r="C2" s="2500"/>
      <c r="D2" s="2500"/>
      <c r="E2" s="268"/>
      <c r="F2" s="89">
        <v>22</v>
      </c>
    </row>
    <row r="3" ht="3" customHeight="1">
      <c r="F3" s="89">
        <v>3</v>
      </c>
    </row>
    <row r="4" ht="23.25" customHeight="1">
      <c r="B4" s="2614" t="s">
        <v>1903</v>
      </c>
      <c r="C4" s="383" t="s">
        <v>1904</v>
      </c>
      <c r="D4" s="383" t="s">
        <v>1905</v>
      </c>
      <c r="F4" s="89">
        <v>22</v>
      </c>
    </row>
    <row r="5" ht="11.25" hidden="1" customHeight="1">
      <c r="A5" s="89" t="s">
        <v>81</v>
      </c>
      <c r="B5" s="89">
        <v>34</v>
      </c>
      <c r="C5" s="89">
        <v>85</v>
      </c>
      <c r="D5" s="89">
        <v>17</v>
      </c>
      <c r="E5" s="89">
        <v>8</v>
      </c>
      <c r="F5" s="89">
        <v>11</v>
      </c>
    </row>
  </sheetData>
  <sheetProtection autoFilter="0" deleteColumns="0" deleteRows="0" formatColumns="0" formatRows="0" insertColumns="1" insertRows="0" sort="0"/>
  <mergeCells count="1">
    <mergeCell ref="B2:D2"/>
  </mergeCells>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sheetPr>
  <sheetViews>
    <sheetView showGridLines="0" topLeftCell="A1" zoomScale="85" workbookViewId="0">
      <selection activeCell="A1" sqref="A1"/>
    </sheetView>
  </sheetViews>
  <sheetFormatPr defaultColWidth="9.140625" defaultRowHeight="17.100000000000001" customHeight="1"/>
  <cols>
    <col customWidth="1" min="1" max="1" style="1850" width="26.57421875"/>
    <col customWidth="1" min="2" max="2" style="1850" width="10.00390625"/>
    <col min="3" max="3" style="1850" width="9.140625"/>
    <col customWidth="1" min="4" max="4" style="1850" width="11.140625"/>
    <col customWidth="1" min="5" max="5" style="1850" width="16.57421875"/>
    <col customWidth="1" min="6" max="6" style="1850" width="16.28125"/>
    <col customWidth="1" min="7" max="7" style="1850" width="19.140625"/>
    <col customWidth="1" min="8" max="11" style="1850" width="10.00390625"/>
    <col customWidth="1" min="12" max="12" style="1850" width="12.7109375"/>
    <col customWidth="1" min="13" max="13" style="1850" width="61.28125"/>
    <col customWidth="1" min="14" max="14" style="1850" width="10.00390625"/>
    <col customWidth="1" min="15" max="17" style="1850" width="23.7109375"/>
    <col customWidth="1" min="18" max="18" style="1850" width="11.7109375"/>
    <col customWidth="1" min="19" max="19" style="1850" width="8.57421875"/>
    <col customWidth="1" min="20" max="20" style="1850" width="11.7109375"/>
    <col customWidth="1" min="21" max="21" style="1850" width="8.57421875"/>
    <col customWidth="1" min="22" max="22" style="1850" width="4.7109375"/>
    <col customWidth="1" min="23" max="23" style="1850" width="115.7109375"/>
    <col customWidth="1" min="24" max="24" style="1850" width="115.28125"/>
    <col min="25" max="27" style="1850" width="9.140625"/>
    <col customWidth="1" min="28" max="28" style="1850" width="115.7109375"/>
    <col min="29" max="29" style="1850" width="9.140625"/>
    <col customWidth="1" min="30" max="90" style="1850" width="115.7109375"/>
    <col min="91" max="184" style="1850" width="9.140625"/>
  </cols>
  <sheetData>
    <row r="2" s="1815" customFormat="1" ht="17.25" customHeight="1">
      <c r="A2" s="1815" t="s">
        <v>1906</v>
      </c>
    </row>
    <row r="4" s="264" customFormat="1" ht="15" customHeight="1">
      <c r="C4" s="1816"/>
      <c r="D4" s="113"/>
      <c r="E4" s="377"/>
    </row>
    <row r="6" s="1815" customFormat="1" ht="17.25" customHeight="1">
      <c r="A6" s="1815" t="s">
        <v>1907</v>
      </c>
    </row>
    <row r="8" s="264" customFormat="1" ht="17.25" customHeight="1">
      <c r="C8" s="1817"/>
      <c r="D8" s="113"/>
      <c r="E8" s="114"/>
    </row>
    <row r="11" s="1815" customFormat="1" ht="17.25" customHeight="1">
      <c r="A11" s="1815" t="s">
        <v>1908</v>
      </c>
    </row>
    <row r="13" s="1819" customFormat="1" ht="15" customHeight="1">
      <c r="A13" s="2217">
        <v>1</v>
      </c>
      <c r="B13" s="1160"/>
      <c r="C13" s="801" t="s">
        <v>122</v>
      </c>
      <c r="D13" s="1818"/>
      <c r="E13" s="1805">
        <f>A13</f>
        <v>1</v>
      </c>
      <c r="F13" s="804"/>
      <c r="G13" s="540" t="str">
        <f>"Территория "&amp;E13</f>
        <v xml:space="preserve">Территория 1</v>
      </c>
      <c r="H13" s="792"/>
      <c r="I13" s="792"/>
      <c r="J13" s="789"/>
      <c r="K13" s="1624"/>
      <c r="L13" s="1624"/>
      <c r="M13" s="1624"/>
      <c r="N13" s="226"/>
      <c r="O13" s="1624"/>
      <c r="P13" s="225"/>
      <c r="Q13" s="225"/>
      <c r="R13" s="225"/>
      <c r="S13" s="225"/>
    </row>
    <row r="14" s="1850" customFormat="1" ht="15" customHeight="1">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r="15" s="1850" customFormat="1" ht="15" customHeight="1">
      <c r="A15" s="2217"/>
      <c r="B15" s="1160"/>
      <c r="C15" s="412"/>
      <c r="D15" s="801"/>
      <c r="E15" s="421"/>
      <c r="F15" s="177"/>
      <c r="G15" s="415" t="s">
        <v>102</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ht="17.25" customHeight="1">
      <c r="A17" s="1815" t="s">
        <v>1909</v>
      </c>
    </row>
    <row r="19" s="1850" customFormat="1" ht="15" customHeight="1">
      <c r="A19" s="1882"/>
      <c r="B19" s="1366">
        <v>1</v>
      </c>
      <c r="C19" s="1366"/>
      <c r="D19" s="800" t="s">
        <v>122</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ht="15" customHeight="1">
      <c r="A21" s="1815" t="s">
        <v>1910</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r="22" s="1850" customFormat="1" ht="15" customHeight="1">
      <c r="U22" s="185"/>
    </row>
    <row r="23" s="1853" customFormat="1" ht="15" customHeight="1">
      <c r="A23" s="423"/>
      <c r="B23" s="423"/>
      <c r="C23" s="1728" t="s">
        <v>122</v>
      </c>
      <c r="D23" s="2108" t="s">
        <v>109</v>
      </c>
      <c r="E23" s="2109"/>
      <c r="F23" s="2107" t="s">
        <v>19</v>
      </c>
      <c r="G23" s="2557"/>
      <c r="H23" s="2127">
        <v>1</v>
      </c>
      <c r="I23" s="2559" t="str">
        <f>IF(U23="","",INDEX(TERRITORY_MR_LIST,MATCH(U23,TERRITORY_LIST_ID,0)))</f>
        <v/>
      </c>
      <c r="J23" s="2107" t="s">
        <v>19</v>
      </c>
      <c r="K23" s="832"/>
      <c r="L23" s="1782" t="s">
        <v>109</v>
      </c>
      <c r="M23" s="603"/>
      <c r="N23" s="604"/>
      <c r="O23" s="604"/>
      <c r="P23" s="604"/>
      <c r="Q23" s="604"/>
      <c r="R23" s="604"/>
      <c r="S23" s="604"/>
      <c r="T23" s="604"/>
      <c r="U23" s="605"/>
      <c r="V23" s="604"/>
      <c r="W23" s="604"/>
      <c r="X23" s="595"/>
      <c r="Y23" s="595" t="s">
        <v>119</v>
      </c>
      <c r="Z23" s="595">
        <v>1705000</v>
      </c>
      <c r="AA23" s="595"/>
      <c r="AB23" s="595"/>
      <c r="AC23" s="595"/>
      <c r="AD23" s="595"/>
      <c r="AE23" s="595"/>
      <c r="AF23" s="595"/>
      <c r="AG23" s="595"/>
      <c r="AH23" s="595"/>
      <c r="AI23" s="595"/>
      <c r="AJ23" s="595"/>
      <c r="AK23" s="595"/>
      <c r="AL23" s="595"/>
    </row>
    <row r="24" s="1853" customFormat="1" ht="15" customHeight="1">
      <c r="A24" s="423"/>
      <c r="B24" s="423"/>
      <c r="C24" s="176"/>
      <c r="D24" s="2108"/>
      <c r="E24" s="2110"/>
      <c r="F24" s="2107"/>
      <c r="G24" s="2558"/>
      <c r="H24" s="2127"/>
      <c r="I24" s="2560"/>
      <c r="J24" s="2107"/>
      <c r="K24" s="421"/>
      <c r="L24" s="177"/>
      <c r="M24" s="607" t="s">
        <v>120</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r="25" s="1853" customFormat="1" ht="15" customHeight="1">
      <c r="A25" s="423"/>
      <c r="B25" s="423"/>
      <c r="C25" s="176"/>
      <c r="D25" s="2108"/>
      <c r="E25" s="2111"/>
      <c r="F25" s="2107"/>
      <c r="G25" s="421"/>
      <c r="H25" s="177"/>
      <c r="I25" s="580" t="s">
        <v>121</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r="26" s="1850" customFormat="1" ht="15" customHeight="1">
      <c r="U26" s="185"/>
    </row>
    <row r="27" s="1850" customFormat="1" ht="15" customHeight="1">
      <c r="A27" s="1815" t="s">
        <v>1911</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r="28" s="1850" customFormat="1" ht="15" customHeight="1">
      <c r="U28" s="185"/>
    </row>
    <row r="29" s="1853" customFormat="1" ht="15" customHeight="1">
      <c r="A29" s="423"/>
      <c r="B29" s="423"/>
      <c r="C29" s="176"/>
      <c r="D29" s="1821"/>
      <c r="E29" s="1821"/>
      <c r="F29" s="1821"/>
      <c r="G29" s="2561" t="s">
        <v>122</v>
      </c>
      <c r="H29" s="2103">
        <v>1</v>
      </c>
      <c r="I29" s="2562" t="str">
        <f>IF(U29="","",INDEX(TERRITORY_MR_LIST,MATCH(U29,TERRITORY_LIST_ID,0)))</f>
        <v/>
      </c>
      <c r="J29" s="2107" t="s">
        <v>19</v>
      </c>
      <c r="K29" s="832"/>
      <c r="L29" s="1782" t="s">
        <v>109</v>
      </c>
      <c r="M29" s="603"/>
      <c r="N29" s="604"/>
      <c r="O29" s="604"/>
      <c r="P29" s="604"/>
      <c r="Q29" s="604"/>
      <c r="R29" s="604"/>
      <c r="S29" s="604"/>
      <c r="T29" s="604"/>
      <c r="U29" s="605"/>
      <c r="V29" s="604"/>
      <c r="W29" s="604"/>
      <c r="X29" s="595"/>
      <c r="Y29" s="595" t="s">
        <v>119</v>
      </c>
      <c r="Z29" s="595">
        <v>1705000</v>
      </c>
      <c r="AA29" s="595"/>
      <c r="AB29" s="595"/>
      <c r="AC29" s="595"/>
      <c r="AD29" s="595"/>
      <c r="AE29" s="595"/>
      <c r="AF29" s="595"/>
      <c r="AG29" s="595"/>
      <c r="AH29" s="595"/>
      <c r="AI29" s="595"/>
      <c r="AJ29" s="595"/>
      <c r="AK29" s="595"/>
      <c r="AL29" s="595"/>
    </row>
    <row r="30" s="1853" customFormat="1" ht="15" customHeight="1">
      <c r="A30" s="423"/>
      <c r="B30" s="423"/>
      <c r="C30" s="176"/>
      <c r="D30" s="1821"/>
      <c r="E30" s="1821"/>
      <c r="F30" s="1821"/>
      <c r="G30" s="2561"/>
      <c r="H30" s="2103"/>
      <c r="I30" s="2562"/>
      <c r="J30" s="2107"/>
      <c r="K30" s="421"/>
      <c r="L30" s="177"/>
      <c r="M30" s="607" t="s">
        <v>120</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r="31" s="1850" customFormat="1" ht="15" customHeight="1">
      <c r="U31" s="185"/>
    </row>
    <row r="32" s="1850" customFormat="1" ht="15" customHeight="1">
      <c r="A32" s="1815" t="s">
        <v>1912</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r="33" s="1850" customFormat="1" ht="15" customHeight="1">
      <c r="U33" s="185"/>
    </row>
    <row r="34" s="1853" customFormat="1" ht="15" customHeight="1">
      <c r="A34" s="423"/>
      <c r="B34" s="423"/>
      <c r="C34" s="176"/>
      <c r="D34" s="1821"/>
      <c r="E34" s="1821"/>
      <c r="F34" s="1821"/>
      <c r="G34" s="1821"/>
      <c r="H34" s="1821"/>
      <c r="I34" s="1821"/>
      <c r="J34" s="1821"/>
      <c r="K34" s="1799" t="s">
        <v>122</v>
      </c>
      <c r="L34" s="1729" t="s">
        <v>109</v>
      </c>
      <c r="M34" s="811"/>
      <c r="N34" s="812"/>
      <c r="O34" s="604"/>
      <c r="P34" s="604"/>
      <c r="Q34" s="604"/>
      <c r="R34" s="604"/>
      <c r="S34" s="604"/>
      <c r="T34" s="604"/>
      <c r="U34" s="605"/>
      <c r="V34" s="604"/>
      <c r="W34" s="604"/>
      <c r="X34" s="595"/>
      <c r="Y34" s="595" t="s">
        <v>119</v>
      </c>
      <c r="Z34" s="595">
        <v>1705000</v>
      </c>
      <c r="AA34" s="595"/>
      <c r="AB34" s="595"/>
      <c r="AC34" s="595"/>
      <c r="AD34" s="595"/>
      <c r="AE34" s="595"/>
      <c r="AF34" s="595"/>
      <c r="AG34" s="595"/>
      <c r="AH34" s="595"/>
      <c r="AI34" s="595"/>
      <c r="AJ34" s="595"/>
      <c r="AK34" s="595"/>
      <c r="AL34" s="595"/>
    </row>
    <row r="35" s="1850" customFormat="1" ht="15" customHeight="1">
      <c r="U35" s="185"/>
    </row>
    <row r="36" s="1850" customFormat="1" ht="15" customHeight="1">
      <c r="U36" s="185"/>
    </row>
    <row r="37" s="1815" customFormat="1" ht="11.25" customHeight="1">
      <c r="A37" s="1815" t="s">
        <v>1913</v>
      </c>
    </row>
    <row r="38" ht="11.25" customHeight="1"/>
    <row r="39" s="455" customFormat="1" ht="22.5" customHeight="1">
      <c r="A39" s="1791"/>
      <c r="B39" s="457"/>
      <c r="C39" s="859"/>
      <c r="D39" s="440"/>
      <c r="E39" s="860"/>
      <c r="F39" s="1812"/>
      <c r="G39" s="1822"/>
      <c r="H39" s="475"/>
    </row>
    <row r="40" ht="11.25" customHeight="1"/>
    <row r="41" s="1815" customFormat="1" ht="11.25" customHeight="1">
      <c r="A41" s="1815" t="s">
        <v>1914</v>
      </c>
    </row>
    <row r="42" ht="11.25" customHeight="1"/>
    <row r="43" s="455" customFormat="1" ht="22.5" customHeight="1">
      <c r="A43" s="457"/>
      <c r="B43" s="457"/>
      <c r="C43" s="457"/>
      <c r="D43" s="440"/>
      <c r="E43" s="860"/>
      <c r="F43" s="861"/>
      <c r="G43" s="1822"/>
      <c r="H43" s="475"/>
    </row>
    <row r="44" ht="11.25" customHeight="1"/>
    <row r="45" s="1815" customFormat="1" ht="11.25" customHeight="1">
      <c r="A45" s="1815" t="s">
        <v>1915</v>
      </c>
    </row>
    <row r="46" ht="11.25" customHeight="1"/>
    <row r="47" s="455" customFormat="1" ht="24" customHeight="1">
      <c r="A47" s="2202" t="s">
        <v>315</v>
      </c>
      <c r="B47" s="502"/>
      <c r="C47" s="2213"/>
      <c r="D47" s="445" t="str">
        <f>A47</f>
        <v>5.1</v>
      </c>
      <c r="E47" s="442" t="s">
        <v>316</v>
      </c>
      <c r="F47" s="1976" t="s">
        <v>308</v>
      </c>
      <c r="G47" s="444" t="s">
        <v>317</v>
      </c>
      <c r="H47" s="475"/>
      <c r="I47" s="852"/>
    </row>
    <row r="48" s="455" customFormat="1" ht="22.5" customHeight="1">
      <c r="A48" s="2202"/>
      <c r="B48" s="502"/>
      <c r="C48" s="2213"/>
      <c r="D48" s="440" t="str">
        <f>D47&amp;".1"</f>
        <v>5.1.1</v>
      </c>
      <c r="E48" s="439" t="s">
        <v>318</v>
      </c>
      <c r="F48" s="1977" t="s">
        <v>22</v>
      </c>
      <c r="G48" s="474"/>
      <c r="H48" s="475"/>
      <c r="I48" s="852"/>
    </row>
    <row r="49" s="455" customFormat="1" ht="22.5" customHeight="1">
      <c r="A49" s="2202"/>
      <c r="B49" s="502"/>
      <c r="C49" s="2213"/>
      <c r="D49" s="440" t="str">
        <f>D47&amp;".2"</f>
        <v>5.1.2</v>
      </c>
      <c r="E49" s="439" t="s">
        <v>319</v>
      </c>
      <c r="F49" s="1732" t="s">
        <v>22</v>
      </c>
      <c r="G49" s="444" t="s">
        <v>320</v>
      </c>
      <c r="H49" s="475"/>
      <c r="I49" s="852"/>
    </row>
    <row r="50" s="455" customFormat="1" ht="22.5" customHeight="1">
      <c r="A50" s="2202"/>
      <c r="B50" s="502"/>
      <c r="C50" s="2213"/>
      <c r="D50" s="440" t="str">
        <f>D47&amp;".3"</f>
        <v>5.1.3</v>
      </c>
      <c r="E50" s="439" t="s">
        <v>321</v>
      </c>
      <c r="F50" s="1977" t="s">
        <v>22</v>
      </c>
      <c r="G50" s="474"/>
      <c r="H50" s="475"/>
      <c r="I50" s="852"/>
    </row>
    <row r="51" s="455" customFormat="1" ht="22.5" customHeight="1">
      <c r="A51" s="2202"/>
      <c r="B51" s="502"/>
      <c r="C51" s="2213"/>
      <c r="D51" s="440" t="str">
        <f>D47&amp;".4"</f>
        <v>5.1.4</v>
      </c>
      <c r="E51" s="439" t="s">
        <v>322</v>
      </c>
      <c r="F51" s="1977" t="s">
        <v>22</v>
      </c>
      <c r="G51" s="444" t="s">
        <v>323</v>
      </c>
      <c r="H51" s="475"/>
      <c r="I51" s="852"/>
    </row>
    <row r="54" s="1815" customFormat="1" ht="17.25" customHeight="1">
      <c r="A54" s="1815" t="s">
        <v>1916</v>
      </c>
    </row>
    <row r="56" s="1612" customFormat="1" ht="18.75" customHeight="1">
      <c r="A56" s="89"/>
      <c r="B56" s="1823"/>
      <c r="C56" s="1823"/>
      <c r="D56" s="1824"/>
      <c r="E56" s="1809"/>
      <c r="F56" s="868">
        <v>13</v>
      </c>
      <c r="G56" s="867"/>
      <c r="H56" s="793"/>
      <c r="I56" s="791"/>
      <c r="J56" s="520" t="s">
        <v>65</v>
      </c>
      <c r="K56" s="1825" t="s">
        <v>22</v>
      </c>
      <c r="L56" s="89"/>
      <c r="M56" s="1636"/>
      <c r="N56" s="1636"/>
      <c r="O56" s="1636"/>
      <c r="P56" s="516" t="s">
        <v>394</v>
      </c>
      <c r="Q56" s="516" t="s">
        <v>395</v>
      </c>
      <c r="R56" s="517" t="s">
        <v>396</v>
      </c>
      <c r="S56" s="1636" t="s">
        <v>397</v>
      </c>
      <c r="T56" s="1636"/>
      <c r="U56" s="1636"/>
      <c r="V56" s="1636"/>
    </row>
    <row r="58" s="1815" customFormat="1" ht="11.25" customHeight="1">
      <c r="A58" s="1815" t="s">
        <v>1917</v>
      </c>
    </row>
    <row r="60" s="1635" customFormat="1" ht="14.25" customHeight="1">
      <c r="C60" s="1688"/>
      <c r="D60" s="1869"/>
      <c r="E60" s="1777" t="s">
        <v>22</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383</v>
      </c>
      <c r="AQ60" s="1624" t="s">
        <v>383</v>
      </c>
      <c r="AR60" s="1636"/>
      <c r="AS60" s="1636"/>
    </row>
    <row r="62" s="1815" customFormat="1" ht="11.25" customHeight="1">
      <c r="A62" s="1815" t="s">
        <v>1918</v>
      </c>
    </row>
    <row r="64" s="1823" customFormat="1" ht="15" customHeight="1">
      <c r="A64" s="145" t="s">
        <v>89</v>
      </c>
      <c r="B64" s="125" t="s">
        <v>22</v>
      </c>
      <c r="C64" s="1826"/>
      <c r="D64" s="128"/>
      <c r="E64" s="381"/>
      <c r="F64" s="381"/>
      <c r="G64" s="1803"/>
      <c r="H64" s="1825"/>
      <c r="I64" s="1804"/>
      <c r="K64" s="272"/>
      <c r="L64" s="273"/>
    </row>
    <row r="66" s="1815" customFormat="1" ht="11.25" customHeight="1">
      <c r="A66" s="1815" t="s">
        <v>1919</v>
      </c>
    </row>
    <row r="68" s="1635" customFormat="1" ht="14.25" customHeight="1">
      <c r="A68" s="343"/>
      <c r="B68" s="1160"/>
      <c r="C68" s="376"/>
      <c r="D68" s="1810"/>
      <c r="E68" s="886"/>
      <c r="F68" s="1825"/>
      <c r="G68" s="89"/>
      <c r="I68" s="1624"/>
      <c r="J68" s="1624"/>
    </row>
    <row r="70" s="1815" customFormat="1" ht="11.25" customHeight="1">
      <c r="A70" s="1815" t="s">
        <v>1920</v>
      </c>
    </row>
    <row r="72" s="1635" customFormat="1" ht="27" customHeight="1">
      <c r="A72" s="1166"/>
      <c r="B72" s="1166"/>
      <c r="C72" s="1166"/>
      <c r="D72" s="1160"/>
      <c r="E72" s="1827"/>
      <c r="F72" s="2581"/>
      <c r="G72" s="2582"/>
      <c r="H72" s="2583" t="s">
        <v>65</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65</v>
      </c>
      <c r="Z72" s="1808"/>
      <c r="AA72" s="1792">
        <v>1</v>
      </c>
      <c r="AB72" s="1242"/>
      <c r="AD72" s="1636" t="s">
        <v>1921</v>
      </c>
    </row>
    <row r="73" s="1635" customFormat="1" ht="10.5" customHeight="1">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1922</v>
      </c>
    </row>
    <row r="75" s="1815" customFormat="1" ht="11.25" customHeight="1">
      <c r="A75" s="1815" t="s">
        <v>1923</v>
      </c>
    </row>
    <row r="77" s="1635" customFormat="1" ht="27" customHeight="1">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1921</v>
      </c>
    </row>
    <row r="79" s="1815" customFormat="1" ht="11.25" customHeight="1">
      <c r="A79" s="1815" t="s">
        <v>1924</v>
      </c>
    </row>
    <row r="80" ht="17.25" customHeight="1"/>
    <row r="81" s="1635" customFormat="1" ht="21" customHeight="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r="82" s="1635" customFormat="1" ht="0.75" customHeight="1">
      <c r="A82" s="1166"/>
      <c r="B82" s="1166"/>
      <c r="C82" s="1166"/>
      <c r="D82" s="1160"/>
      <c r="E82" s="1170"/>
      <c r="F82" s="2536"/>
      <c r="G82" s="2515"/>
      <c r="H82" s="2540" t="s">
        <v>378</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r="83" s="1635" customFormat="1" ht="0.75" customHeight="1">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r="84" s="1635" customFormat="1" ht="0.75" customHeight="1">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r="85" s="1635" customFormat="1" ht="0.75" customHeight="1">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r="86" s="1635" customFormat="1" ht="0.75" customHeight="1">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r="87" s="1635" customFormat="1" ht="12" customHeight="1">
      <c r="A87" s="1166"/>
      <c r="B87" s="1166"/>
      <c r="C87" s="1166"/>
      <c r="D87" s="1160"/>
      <c r="E87" s="1170"/>
      <c r="F87" s="2537"/>
      <c r="G87" s="1190"/>
      <c r="H87" s="1190"/>
      <c r="I87" s="2535" t="s">
        <v>1925</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ht="11.25" customHeight="1">
      <c r="A89" s="1815" t="s">
        <v>1926</v>
      </c>
    </row>
    <row r="91" s="1635" customFormat="1" ht="11.25" customHeight="1">
      <c r="A91" s="1166"/>
      <c r="B91" s="1166"/>
      <c r="C91" s="1166"/>
      <c r="D91" s="1160"/>
      <c r="E91" s="1170"/>
      <c r="F91" s="1829"/>
      <c r="G91" s="1830"/>
      <c r="H91" s="1830"/>
      <c r="I91" s="1764"/>
      <c r="J91" s="1764"/>
      <c r="K91" s="1831"/>
      <c r="L91" s="1764"/>
      <c r="M91" s="1830"/>
      <c r="N91" s="2508"/>
      <c r="O91" s="2591">
        <v>1</v>
      </c>
      <c r="P91" s="2510" t="s">
        <v>19</v>
      </c>
      <c r="Q91" s="2513" t="s">
        <v>22</v>
      </c>
      <c r="R91" s="2513" t="s">
        <v>22</v>
      </c>
      <c r="S91" s="2513" t="s">
        <v>22</v>
      </c>
      <c r="T91" s="2513" t="s">
        <v>22</v>
      </c>
      <c r="U91" s="2513" t="s">
        <v>22</v>
      </c>
      <c r="V91" s="2513" t="s">
        <v>22</v>
      </c>
      <c r="W91" s="2513" t="s">
        <v>22</v>
      </c>
      <c r="X91" s="2513" t="s">
        <v>22</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r="92" s="1635" customFormat="1" ht="11.25" customHeight="1">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r="93" s="1635" customFormat="1" ht="11.25" customHeight="1">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1927</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ht="11.25" customHeight="1">
      <c r="A95" s="1815" t="s">
        <v>1928</v>
      </c>
    </row>
    <row r="97" s="1635" customFormat="1" ht="11.25" customHeight="1">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ht="11.25" customHeight="1">
      <c r="A99" s="1815" t="s">
        <v>1929</v>
      </c>
    </row>
    <row r="101" s="1635" customFormat="1" ht="11.25" customHeight="1">
      <c r="A101" s="1166"/>
      <c r="B101" s="1166"/>
      <c r="C101" s="1166"/>
      <c r="D101" s="1160"/>
      <c r="E101" s="1170"/>
      <c r="F101" s="1829"/>
      <c r="G101" s="1830"/>
      <c r="H101" s="2515" t="s">
        <v>109</v>
      </c>
      <c r="I101" s="2516"/>
      <c r="J101" s="2485"/>
      <c r="K101" s="2517"/>
      <c r="L101" s="2107" t="s">
        <v>19</v>
      </c>
      <c r="M101" s="2108"/>
      <c r="N101" s="1986"/>
      <c r="O101" s="1177" t="s">
        <v>378</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r="102" s="1635" customFormat="1" ht="11.25" customHeight="1">
      <c r="A102" s="1166"/>
      <c r="B102" s="1166"/>
      <c r="C102" s="1166"/>
      <c r="D102" s="1160"/>
      <c r="E102" s="1170"/>
      <c r="F102" s="1829"/>
      <c r="G102" s="1830"/>
      <c r="H102" s="2515"/>
      <c r="I102" s="2516"/>
      <c r="J102" s="2485"/>
      <c r="K102" s="2517"/>
      <c r="L102" s="2107"/>
      <c r="M102" s="2108"/>
      <c r="N102" s="2508"/>
      <c r="O102" s="2509">
        <v>1</v>
      </c>
      <c r="P102" s="2510" t="s">
        <v>19</v>
      </c>
      <c r="Q102" s="2513" t="s">
        <v>22</v>
      </c>
      <c r="R102" s="2513" t="s">
        <v>22</v>
      </c>
      <c r="S102" s="2513" t="s">
        <v>22</v>
      </c>
      <c r="T102" s="2513" t="s">
        <v>22</v>
      </c>
      <c r="U102" s="2513" t="s">
        <v>22</v>
      </c>
      <c r="V102" s="2513" t="s">
        <v>22</v>
      </c>
      <c r="W102" s="2513" t="s">
        <v>22</v>
      </c>
      <c r="X102" s="2513" t="s">
        <v>22</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r="103" s="1635" customFormat="1" ht="11.25" customHeight="1">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r="104" s="1635" customFormat="1" ht="11.25" customHeight="1">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1927</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r="105" s="1635" customFormat="1" ht="11.25" customHeight="1">
      <c r="A105" s="1166"/>
      <c r="B105" s="1166"/>
      <c r="C105" s="1166"/>
      <c r="D105" s="1160"/>
      <c r="E105" s="1170"/>
      <c r="F105" s="1829"/>
      <c r="G105" s="1830"/>
      <c r="H105" s="2515"/>
      <c r="I105" s="2516"/>
      <c r="J105" s="2485"/>
      <c r="K105" s="2517"/>
      <c r="L105" s="2107"/>
      <c r="M105" s="2108"/>
      <c r="N105" s="1175"/>
      <c r="O105" s="1176"/>
      <c r="P105" s="1168" t="s">
        <v>1930</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ht="11.25" customHeight="1">
      <c r="A107" s="1815" t="s">
        <v>1931</v>
      </c>
    </row>
    <row r="108" ht="17.25" customHeight="1"/>
    <row r="109" s="925" customFormat="1" ht="21" customHeight="1">
      <c r="A109" s="1167"/>
      <c r="B109" s="940"/>
      <c r="D109" s="924"/>
      <c r="E109" s="939" t="s">
        <v>22</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r="110" s="925" customFormat="1" ht="24.75" customHeight="1">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r="111" s="925" customFormat="1" ht="12" customHeight="1">
      <c r="A111" s="924"/>
      <c r="B111" s="923"/>
      <c r="C111" s="924"/>
      <c r="D111" s="924"/>
      <c r="E111" s="924"/>
      <c r="F111" s="1213"/>
      <c r="G111" s="1800" t="s">
        <v>1932</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ht="11.25" customHeight="1">
      <c r="A113" s="1815" t="s">
        <v>1933</v>
      </c>
    </row>
    <row r="115" s="1850" customFormat="1" ht="15" hidden="1" customHeight="1">
      <c r="A115" s="623"/>
      <c r="B115" s="624"/>
      <c r="C115" s="624"/>
      <c r="D115" s="2578" t="s">
        <v>109</v>
      </c>
      <c r="E115" s="2377" t="s">
        <v>105</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22</v>
      </c>
      <c r="AF115" s="630"/>
      <c r="AG115" s="631" t="s">
        <v>611</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r="116" s="1850" customFormat="1" ht="15" hidden="1" customHeight="1">
      <c r="A116" s="623"/>
      <c r="B116" s="624"/>
      <c r="C116" s="624"/>
      <c r="D116" s="2579"/>
      <c r="E116" s="2377" t="s">
        <v>566</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r="117" s="1850" customFormat="1" ht="15" hidden="1" customHeight="1">
      <c r="A117" s="623"/>
      <c r="B117" s="624"/>
      <c r="C117" s="624"/>
      <c r="D117" s="2579"/>
      <c r="E117" s="2377" t="s">
        <v>567</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r="118" s="1850" customFormat="1" ht="24.75" hidden="1" customHeight="1">
      <c r="A118" s="1806"/>
      <c r="B118" s="1160"/>
      <c r="C118" s="412"/>
      <c r="D118" s="2579"/>
      <c r="E118" s="2376" t="s">
        <v>612</v>
      </c>
      <c r="F118" s="2376"/>
      <c r="G118" s="2376"/>
      <c r="H118" s="2376"/>
      <c r="I118" s="2376"/>
      <c r="J118" s="2376"/>
      <c r="K118" s="2376"/>
      <c r="L118" s="2376"/>
      <c r="M118" s="2376"/>
      <c r="N118" s="2376"/>
      <c r="O118" s="2376"/>
      <c r="P118" s="2376"/>
      <c r="Q118" s="558">
        <f>SUMIF(T119:T120,"i",Q119:Q120)</f>
        <v>0</v>
      </c>
      <c r="R118" s="1017"/>
      <c r="S118" s="1798" t="s">
        <v>613</v>
      </c>
      <c r="T118" s="717" t="s">
        <v>614</v>
      </c>
      <c r="U118" s="2374">
        <v>1</v>
      </c>
      <c r="V118" s="2374" t="s">
        <v>577</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r="119" s="1850" customFormat="1" ht="11.25" hidden="1" customHeight="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r="120" s="1850" customFormat="1" ht="11.25" hidden="1" customHeight="1">
      <c r="A120" s="1806"/>
      <c r="B120" s="1160"/>
      <c r="C120" s="412"/>
      <c r="D120" s="2579"/>
      <c r="E120" s="649" t="s">
        <v>22</v>
      </c>
      <c r="F120" s="1168" t="s">
        <v>22</v>
      </c>
      <c r="G120" s="1168" t="s">
        <v>617</v>
      </c>
      <c r="H120" s="651" t="s">
        <v>22</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r="121" s="1850" customFormat="1" ht="24.75" hidden="1" customHeight="1">
      <c r="A121" s="1806"/>
      <c r="B121" s="1160"/>
      <c r="C121" s="412"/>
      <c r="D121" s="2579"/>
      <c r="E121" s="2376" t="s">
        <v>615</v>
      </c>
      <c r="F121" s="2376"/>
      <c r="G121" s="2376"/>
      <c r="H121" s="2376"/>
      <c r="I121" s="2376"/>
      <c r="J121" s="2376"/>
      <c r="K121" s="2376"/>
      <c r="L121" s="2376"/>
      <c r="M121" s="2376"/>
      <c r="N121" s="2376"/>
      <c r="O121" s="2376"/>
      <c r="P121" s="2376"/>
      <c r="Q121" s="558">
        <f>SUMIF(T122:T123,"i",Q122:Q123)</f>
        <v>0</v>
      </c>
      <c r="R121" s="1017"/>
      <c r="S121" s="1798" t="s">
        <v>616</v>
      </c>
      <c r="T121" s="717" t="s">
        <v>614</v>
      </c>
      <c r="U121" s="2374">
        <v>1</v>
      </c>
      <c r="V121" s="2374" t="s">
        <v>577</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r="122" s="1850" customFormat="1" ht="11.25" hidden="1" customHeight="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r="123" s="1850" customFormat="1" ht="11.25" hidden="1" customHeight="1">
      <c r="A123" s="1806"/>
      <c r="B123" s="1160"/>
      <c r="C123" s="412"/>
      <c r="D123" s="2580"/>
      <c r="E123" s="649" t="s">
        <v>22</v>
      </c>
      <c r="F123" s="1168" t="s">
        <v>22</v>
      </c>
      <c r="G123" s="1168" t="s">
        <v>617</v>
      </c>
      <c r="H123" s="651" t="s">
        <v>22</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ht="11.25" customHeight="1">
      <c r="A125" s="1815" t="s">
        <v>1934</v>
      </c>
    </row>
    <row r="127" s="1850" customFormat="1" ht="15" customHeight="1">
      <c r="A127" s="623"/>
      <c r="B127" s="624"/>
      <c r="C127" s="624"/>
      <c r="D127" s="2578" t="s">
        <v>109</v>
      </c>
      <c r="E127" s="2377" t="s">
        <v>105</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22</v>
      </c>
      <c r="AF127" s="630"/>
      <c r="AG127" s="631" t="s">
        <v>611</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r="128" s="1850" customFormat="1" ht="15" customHeight="1">
      <c r="A128" s="623"/>
      <c r="B128" s="624"/>
      <c r="C128" s="624"/>
      <c r="D128" s="2579"/>
      <c r="E128" s="2377" t="s">
        <v>566</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r="129" s="1850" customFormat="1" ht="15" customHeight="1">
      <c r="A129" s="623"/>
      <c r="B129" s="624"/>
      <c r="C129" s="624"/>
      <c r="D129" s="2579"/>
      <c r="E129" s="2377" t="s">
        <v>567</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r="130" s="1850" customFormat="1" ht="24.75" customHeight="1">
      <c r="A130" s="1806"/>
      <c r="B130" s="1160"/>
      <c r="C130" s="412"/>
      <c r="D130" s="2579"/>
      <c r="E130" s="2376" t="s">
        <v>612</v>
      </c>
      <c r="F130" s="2376"/>
      <c r="G130" s="2376"/>
      <c r="H130" s="2376"/>
      <c r="I130" s="2376"/>
      <c r="J130" s="2376"/>
      <c r="K130" s="2376"/>
      <c r="L130" s="2376"/>
      <c r="M130" s="2376"/>
      <c r="N130" s="2376"/>
      <c r="O130" s="2376"/>
      <c r="P130" s="2376"/>
      <c r="Q130" s="558">
        <f>SUMIF(T131:T132,"i",Q131:Q132)</f>
        <v>0</v>
      </c>
      <c r="R130" s="1017"/>
      <c r="S130" s="1798" t="s">
        <v>613</v>
      </c>
      <c r="T130" s="717" t="s">
        <v>614</v>
      </c>
      <c r="U130" s="2374">
        <v>1</v>
      </c>
      <c r="V130" s="2374" t="s">
        <v>577</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r="131" s="1850" customFormat="1" ht="11.25" hidden="1" customHeight="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r="132" s="1850" customFormat="1" ht="11.25" customHeight="1">
      <c r="A132" s="1806"/>
      <c r="B132" s="1160"/>
      <c r="C132" s="412"/>
      <c r="D132" s="2579"/>
      <c r="E132" s="649" t="s">
        <v>22</v>
      </c>
      <c r="F132" s="1168" t="s">
        <v>22</v>
      </c>
      <c r="G132" s="1168" t="s">
        <v>617</v>
      </c>
      <c r="H132" s="651" t="s">
        <v>22</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r="133" s="1316" customFormat="1" ht="5.25" hidden="1" customHeight="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614</v>
      </c>
      <c r="U133" s="2374">
        <v>1</v>
      </c>
      <c r="V133" s="2374" t="s">
        <v>577</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r="134" s="1316" customFormat="1" ht="5.25" hidden="1" customHeight="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r="135" s="1316" customFormat="1" ht="5.25" hidden="1" customHeight="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r="136" ht="17.25" customHeight="1">
      <c r="D136" s="1836"/>
    </row>
    <row r="137" s="1815" customFormat="1" ht="11.25" customHeight="1">
      <c r="A137" s="1815" t="s">
        <v>1935</v>
      </c>
    </row>
    <row r="139" s="1850" customFormat="1" ht="45" customHeight="1">
      <c r="A139" s="1806"/>
      <c r="B139" s="1160"/>
      <c r="C139" s="412"/>
      <c r="D139" s="89"/>
      <c r="E139" s="2572"/>
      <c r="F139" s="2108" t="s">
        <v>109</v>
      </c>
      <c r="G139" s="2575" t="s">
        <v>22</v>
      </c>
      <c r="H139" s="289"/>
      <c r="I139" s="637" t="s">
        <v>109</v>
      </c>
      <c r="J139" s="1807" t="s">
        <v>1936</v>
      </c>
      <c r="K139" s="638" t="s">
        <v>548</v>
      </c>
      <c r="L139" s="2224" t="s">
        <v>548</v>
      </c>
      <c r="M139" s="2577"/>
      <c r="N139" s="638" t="s">
        <v>548</v>
      </c>
      <c r="O139" s="638" t="s">
        <v>548</v>
      </c>
      <c r="P139" s="638" t="s">
        <v>548</v>
      </c>
      <c r="Q139" s="639">
        <f>SUM(Q140:Q142)</f>
        <v>0</v>
      </c>
      <c r="R139" s="639">
        <f>IF(R136=0,0,(Q136/R136)*100)</f>
        <v>0</v>
      </c>
      <c r="S139" s="2179"/>
      <c r="T139" s="717" t="s">
        <v>614</v>
      </c>
      <c r="U139" s="89"/>
      <c r="V139" s="89"/>
      <c r="AC139" s="89"/>
    </row>
    <row r="140" s="1850" customFormat="1" ht="11.25" customHeight="1">
      <c r="A140" s="1806"/>
      <c r="B140" s="1160"/>
      <c r="C140" s="412"/>
      <c r="D140" s="89"/>
      <c r="E140" s="2573"/>
      <c r="F140" s="2108"/>
      <c r="G140" s="2575"/>
      <c r="H140" s="2127"/>
      <c r="I140" s="2515" t="s">
        <v>1024</v>
      </c>
      <c r="J140" s="2569"/>
      <c r="K140" s="2570"/>
      <c r="L140" s="640"/>
      <c r="M140" s="641" t="s">
        <v>109</v>
      </c>
      <c r="N140" s="1795"/>
      <c r="O140" s="642"/>
      <c r="P140" s="643"/>
      <c r="Q140" s="642"/>
      <c r="R140" s="644">
        <v>0</v>
      </c>
      <c r="S140" s="2179"/>
      <c r="T140" s="717"/>
      <c r="U140" s="89"/>
      <c r="V140" s="89"/>
      <c r="AC140" s="89"/>
    </row>
    <row r="141" s="1850" customFormat="1" ht="11.25" customHeight="1">
      <c r="A141" s="1806"/>
      <c r="B141" s="1160"/>
      <c r="C141" s="412"/>
      <c r="D141" s="89"/>
      <c r="E141" s="2573"/>
      <c r="F141" s="2108"/>
      <c r="G141" s="2575"/>
      <c r="H141" s="2127"/>
      <c r="I141" s="2515"/>
      <c r="J141" s="2569"/>
      <c r="K141" s="2571"/>
      <c r="L141" s="645"/>
      <c r="M141" s="646"/>
      <c r="N141" s="647" t="s">
        <v>1937</v>
      </c>
      <c r="O141" s="647"/>
      <c r="P141" s="647"/>
      <c r="Q141" s="647"/>
      <c r="R141" s="648"/>
      <c r="S141" s="2179"/>
      <c r="T141" s="717"/>
      <c r="U141" s="89"/>
      <c r="V141" s="89"/>
      <c r="AC141" s="89"/>
    </row>
    <row r="142" s="1850" customFormat="1" ht="11.25" customHeight="1">
      <c r="A142" s="1806"/>
      <c r="B142" s="1160"/>
      <c r="C142" s="412"/>
      <c r="D142" s="89"/>
      <c r="E142" s="2574"/>
      <c r="F142" s="2108"/>
      <c r="G142" s="2576"/>
      <c r="H142" s="645" t="s">
        <v>22</v>
      </c>
      <c r="I142" s="646"/>
      <c r="J142" s="647" t="s">
        <v>1938</v>
      </c>
      <c r="K142" s="647"/>
      <c r="L142" s="647"/>
      <c r="M142" s="647"/>
      <c r="N142" s="647"/>
      <c r="O142" s="647"/>
      <c r="P142" s="647"/>
      <c r="Q142" s="647"/>
      <c r="R142" s="648"/>
      <c r="S142" s="2179"/>
      <c r="T142" s="717"/>
      <c r="U142" s="89"/>
      <c r="V142" s="89"/>
      <c r="AC142" s="89"/>
    </row>
    <row r="147" s="1850" customFormat="1" ht="11.25" customHeight="1">
      <c r="A147" s="1806"/>
      <c r="B147" s="1160"/>
      <c r="C147" s="412"/>
      <c r="D147" s="89"/>
      <c r="E147" s="1830"/>
      <c r="F147" s="1830"/>
      <c r="G147" s="1830"/>
      <c r="H147" s="2127"/>
      <c r="I147" s="2515" t="s">
        <v>1024</v>
      </c>
      <c r="J147" s="2569"/>
      <c r="K147" s="2570"/>
      <c r="L147" s="640"/>
      <c r="M147" s="641" t="s">
        <v>109</v>
      </c>
      <c r="N147" s="1795"/>
      <c r="O147" s="642"/>
      <c r="P147" s="643"/>
      <c r="Q147" s="642"/>
      <c r="R147" s="644">
        <v>0</v>
      </c>
      <c r="S147" s="89"/>
      <c r="T147" s="717"/>
      <c r="U147" s="89"/>
      <c r="V147" s="89"/>
      <c r="AC147" s="89"/>
    </row>
    <row r="148" s="1850" customFormat="1" ht="11.25" customHeight="1">
      <c r="A148" s="1806"/>
      <c r="B148" s="1160"/>
      <c r="C148" s="412"/>
      <c r="D148" s="89"/>
      <c r="E148" s="1830"/>
      <c r="F148" s="1830"/>
      <c r="G148" s="1830"/>
      <c r="H148" s="2127"/>
      <c r="I148" s="2515"/>
      <c r="J148" s="2569"/>
      <c r="K148" s="2571"/>
      <c r="L148" s="645"/>
      <c r="M148" s="646"/>
      <c r="N148" s="647" t="s">
        <v>1937</v>
      </c>
      <c r="O148" s="647"/>
      <c r="P148" s="647"/>
      <c r="Q148" s="647"/>
      <c r="R148" s="648"/>
      <c r="S148" s="89"/>
      <c r="T148" s="717"/>
      <c r="U148" s="89"/>
      <c r="V148" s="89"/>
      <c r="AC148" s="89"/>
    </row>
    <row r="150" s="1850" customFormat="1" ht="11.25" customHeight="1">
      <c r="A150" s="1806"/>
      <c r="B150" s="1160"/>
      <c r="C150" s="412"/>
      <c r="D150" s="89"/>
      <c r="E150" s="1837"/>
      <c r="F150" s="1835"/>
      <c r="G150" s="1835"/>
      <c r="H150" s="1838"/>
      <c r="I150" s="1830"/>
      <c r="J150" s="1831"/>
      <c r="K150" s="1831"/>
      <c r="L150" s="640"/>
      <c r="M150" s="641" t="s">
        <v>109</v>
      </c>
      <c r="N150" s="1795"/>
      <c r="O150" s="642"/>
      <c r="P150" s="643"/>
      <c r="Q150" s="642"/>
      <c r="R150" s="644">
        <v>0</v>
      </c>
      <c r="S150" s="89"/>
      <c r="T150" s="717"/>
      <c r="U150" s="89"/>
      <c r="V150" s="89"/>
      <c r="AC150" s="89"/>
    </row>
    <row r="152" s="1815" customFormat="1" ht="17.25" customHeight="1">
      <c r="A152" s="1815" t="s">
        <v>1939</v>
      </c>
    </row>
    <row r="153" ht="17.25" customHeight="1">
      <c r="G153" s="1839"/>
      <c r="H153" s="1839"/>
      <c r="I153" s="1839"/>
      <c r="M153" s="1835"/>
    </row>
    <row r="154" s="1853" customFormat="1" ht="17.25" customHeight="1">
      <c r="A154" s="1840"/>
      <c r="C154" s="1842"/>
      <c r="D154" s="2529"/>
      <c r="E154" s="2143"/>
      <c r="F154" s="2145"/>
      <c r="G154" s="2531"/>
      <c r="H154" s="2529"/>
      <c r="I154" s="2529">
        <v>1</v>
      </c>
      <c r="J154" s="2501"/>
      <c r="K154" s="2185" t="s">
        <v>65</v>
      </c>
      <c r="L154" s="2108"/>
      <c r="M154" s="2108" t="s">
        <v>109</v>
      </c>
      <c r="N154" s="2504" t="str">
        <f>IF(Z154="","",INDEX(TERRITORY_MR_LIST,MATCH(Z154,TERRITORY_LIST_ID,0)))</f>
        <v/>
      </c>
      <c r="O154" s="2185" t="s">
        <v>65</v>
      </c>
      <c r="P154" s="2108"/>
      <c r="Q154" s="2108" t="s">
        <v>109</v>
      </c>
      <c r="R154" s="2502" t="s">
        <v>22</v>
      </c>
      <c r="S154" s="2107" t="s">
        <v>65</v>
      </c>
      <c r="T154" s="1811"/>
      <c r="U154" s="1811" t="s">
        <v>109</v>
      </c>
      <c r="V154" s="1843" t="s">
        <v>22</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r="155" s="1853" customFormat="1" ht="17.25" customHeight="1">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416</v>
      </c>
      <c r="W155" s="319"/>
      <c r="Y155" s="1259"/>
      <c r="Z155" s="1259"/>
      <c r="AA155" s="1259"/>
      <c r="AB155" s="1259"/>
      <c r="AC155" s="1259"/>
      <c r="AD155" s="1259"/>
      <c r="AE155" s="1259"/>
      <c r="AF155" s="1259"/>
      <c r="AG155" s="1259"/>
      <c r="AH155" s="1259"/>
      <c r="AI155" s="1259"/>
      <c r="AJ155" s="1259"/>
      <c r="AK155" s="1259"/>
    </row>
    <row r="156" s="1853" customFormat="1" ht="17.25" customHeight="1">
      <c r="A156" s="1840"/>
      <c r="C156" s="1845"/>
      <c r="D156" s="2503"/>
      <c r="E156" s="2530"/>
      <c r="F156" s="2146"/>
      <c r="G156" s="2532"/>
      <c r="H156" s="2503"/>
      <c r="I156" s="2503"/>
      <c r="J156" s="2533"/>
      <c r="K156" s="2186"/>
      <c r="L156" s="2503"/>
      <c r="M156" s="2503"/>
      <c r="N156" s="2505"/>
      <c r="O156" s="2112"/>
      <c r="P156" s="317"/>
      <c r="Q156" s="318"/>
      <c r="R156" s="318" t="s">
        <v>417</v>
      </c>
      <c r="S156" s="1846"/>
      <c r="T156" s="1846"/>
      <c r="U156" s="1846"/>
      <c r="V156" s="1846"/>
      <c r="W156" s="319"/>
      <c r="Y156" s="1259"/>
      <c r="Z156" s="1259"/>
      <c r="AA156" s="1259"/>
      <c r="AB156" s="1259"/>
      <c r="AC156" s="1259"/>
      <c r="AD156" s="1259"/>
      <c r="AE156" s="1259"/>
      <c r="AF156" s="1259"/>
      <c r="AG156" s="1259"/>
      <c r="AH156" s="1259"/>
      <c r="AI156" s="1259"/>
      <c r="AJ156" s="1259"/>
      <c r="AK156" s="1259"/>
    </row>
    <row r="157" s="1853" customFormat="1" ht="17.25" customHeight="1">
      <c r="A157" s="1840"/>
      <c r="C157" s="1845"/>
      <c r="D157" s="2503"/>
      <c r="E157" s="2530"/>
      <c r="F157" s="2146"/>
      <c r="G157" s="2532"/>
      <c r="H157" s="2503"/>
      <c r="I157" s="2503"/>
      <c r="J157" s="2533"/>
      <c r="K157" s="2112"/>
      <c r="L157" s="317"/>
      <c r="M157" s="318"/>
      <c r="N157" s="318" t="s">
        <v>418</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r="158" s="1853" customFormat="1" ht="17.25" customHeight="1">
      <c r="A158" s="1840"/>
      <c r="C158" s="1845"/>
      <c r="D158" s="2503"/>
      <c r="E158" s="2530"/>
      <c r="F158" s="2147"/>
      <c r="G158" s="2532"/>
      <c r="H158" s="317"/>
      <c r="I158" s="318"/>
      <c r="J158" s="318" t="s">
        <v>450</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r="159" ht="17.25" customHeight="1">
      <c r="G159" s="1839"/>
      <c r="H159" s="1839"/>
      <c r="I159" s="1839"/>
      <c r="M159" s="1835"/>
    </row>
    <row r="160" s="1853" customFormat="1" ht="17.25" customHeight="1">
      <c r="A160" s="1840"/>
      <c r="C160" s="1842"/>
      <c r="D160" s="1830"/>
      <c r="E160" s="1847"/>
      <c r="F160" s="1784"/>
      <c r="G160" s="1848"/>
      <c r="H160" s="2529"/>
      <c r="I160" s="2529">
        <v>1</v>
      </c>
      <c r="J160" s="2501"/>
      <c r="K160" s="2185" t="s">
        <v>65</v>
      </c>
      <c r="L160" s="2108"/>
      <c r="M160" s="2108" t="s">
        <v>109</v>
      </c>
      <c r="N160" s="2504" t="str">
        <f>IF(Z160="","",INDEX(TERRITORY_MR_LIST,MATCH(Z160,TERRITORY_LIST_ID,0)))</f>
        <v/>
      </c>
      <c r="O160" s="2185" t="s">
        <v>65</v>
      </c>
      <c r="P160" s="2108"/>
      <c r="Q160" s="2108" t="s">
        <v>109</v>
      </c>
      <c r="R160" s="2502" t="s">
        <v>22</v>
      </c>
      <c r="S160" s="2107" t="s">
        <v>65</v>
      </c>
      <c r="T160" s="1811"/>
      <c r="U160" s="1811" t="s">
        <v>109</v>
      </c>
      <c r="V160" s="1843" t="s">
        <v>22</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r="161" s="1853" customFormat="1" ht="17.25" customHeight="1">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416</v>
      </c>
      <c r="W161" s="319"/>
      <c r="Y161" s="1259"/>
      <c r="Z161" s="1259"/>
      <c r="AA161" s="1259"/>
      <c r="AB161" s="1259"/>
      <c r="AC161" s="1259"/>
      <c r="AD161" s="1259"/>
      <c r="AE161" s="1259"/>
      <c r="AF161" s="1259"/>
      <c r="AG161" s="1259"/>
      <c r="AH161" s="1259"/>
      <c r="AI161" s="1259"/>
      <c r="AJ161" s="1259"/>
      <c r="AK161" s="1259"/>
    </row>
    <row r="162" s="1853" customFormat="1" ht="17.25" customHeight="1">
      <c r="A162" s="1840"/>
      <c r="C162" s="1845"/>
      <c r="D162" s="1830"/>
      <c r="E162" s="1847"/>
      <c r="F162" s="1784"/>
      <c r="G162" s="1848"/>
      <c r="H162" s="2503"/>
      <c r="I162" s="2503"/>
      <c r="J162" s="2533"/>
      <c r="K162" s="2186"/>
      <c r="L162" s="2503"/>
      <c r="M162" s="2503"/>
      <c r="N162" s="2505"/>
      <c r="O162" s="2112"/>
      <c r="P162" s="317"/>
      <c r="Q162" s="318"/>
      <c r="R162" s="318" t="s">
        <v>417</v>
      </c>
      <c r="S162" s="1846"/>
      <c r="T162" s="1846"/>
      <c r="U162" s="1846"/>
      <c r="V162" s="1846"/>
      <c r="W162" s="319"/>
      <c r="Y162" s="1259"/>
      <c r="Z162" s="1259"/>
      <c r="AA162" s="1259"/>
      <c r="AB162" s="1259"/>
      <c r="AC162" s="1259"/>
      <c r="AD162" s="1259"/>
      <c r="AE162" s="1259"/>
      <c r="AF162" s="1259"/>
      <c r="AG162" s="1259"/>
      <c r="AH162" s="1259"/>
      <c r="AI162" s="1259"/>
      <c r="AJ162" s="1259"/>
      <c r="AK162" s="1259"/>
    </row>
    <row r="163" s="1853" customFormat="1" ht="17.25" customHeight="1">
      <c r="A163" s="1840"/>
      <c r="C163" s="1845"/>
      <c r="D163" s="1830"/>
      <c r="E163" s="1847"/>
      <c r="F163" s="1784"/>
      <c r="G163" s="1848"/>
      <c r="H163" s="2503"/>
      <c r="I163" s="2503"/>
      <c r="J163" s="2533"/>
      <c r="K163" s="2112"/>
      <c r="L163" s="317"/>
      <c r="M163" s="318"/>
      <c r="N163" s="318" t="s">
        <v>418</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r="164" ht="17.25" customHeight="1">
      <c r="G164" s="1839"/>
      <c r="H164" s="1839"/>
      <c r="I164" s="1839"/>
      <c r="M164" s="1835"/>
    </row>
    <row r="165" s="1853" customFormat="1" ht="17.25" customHeight="1">
      <c r="A165" s="1840"/>
      <c r="C165" s="1842"/>
      <c r="D165" s="1830"/>
      <c r="E165" s="1847"/>
      <c r="F165" s="1784"/>
      <c r="G165" s="1848"/>
      <c r="H165" s="1830"/>
      <c r="I165" s="1830"/>
      <c r="J165" s="1849"/>
      <c r="K165" s="1760"/>
      <c r="L165" s="2108"/>
      <c r="M165" s="2108" t="s">
        <v>109</v>
      </c>
      <c r="N165" s="2504" t="str">
        <f>IF(Z165="","",INDEX(TERRITORY_MR_LIST,MATCH(Z165,TERRITORY_LIST_ID,0)))</f>
        <v/>
      </c>
      <c r="O165" s="2185" t="s">
        <v>65</v>
      </c>
      <c r="P165" s="2108"/>
      <c r="Q165" s="2108" t="s">
        <v>109</v>
      </c>
      <c r="R165" s="2502" t="s">
        <v>22</v>
      </c>
      <c r="S165" s="2107" t="s">
        <v>65</v>
      </c>
      <c r="T165" s="1811"/>
      <c r="U165" s="1811" t="s">
        <v>109</v>
      </c>
      <c r="V165" s="1843" t="s">
        <v>22</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r="166" s="1853" customFormat="1" ht="17.25" customHeight="1">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416</v>
      </c>
      <c r="W166" s="319"/>
      <c r="Y166" s="1259"/>
      <c r="Z166" s="1259"/>
      <c r="AA166" s="1259"/>
      <c r="AB166" s="1259"/>
      <c r="AC166" s="1259"/>
      <c r="AD166" s="1259"/>
      <c r="AE166" s="1259"/>
      <c r="AF166" s="1259"/>
      <c r="AG166" s="1259"/>
      <c r="AH166" s="1259"/>
      <c r="AI166" s="1259"/>
      <c r="AJ166" s="1259"/>
      <c r="AK166" s="1259"/>
    </row>
    <row r="167" s="1853" customFormat="1" ht="17.25" customHeight="1">
      <c r="A167" s="1840"/>
      <c r="C167" s="1845"/>
      <c r="D167" s="1830"/>
      <c r="E167" s="1847"/>
      <c r="F167" s="1784"/>
      <c r="G167" s="1848"/>
      <c r="H167" s="1830"/>
      <c r="I167" s="1830"/>
      <c r="J167" s="1849"/>
      <c r="K167" s="1760"/>
      <c r="L167" s="2503"/>
      <c r="M167" s="2503"/>
      <c r="N167" s="2505"/>
      <c r="O167" s="2112"/>
      <c r="P167" s="317"/>
      <c r="Q167" s="318"/>
      <c r="R167" s="318" t="s">
        <v>417</v>
      </c>
      <c r="S167" s="1846"/>
      <c r="T167" s="1846"/>
      <c r="U167" s="1846"/>
      <c r="V167" s="1846"/>
      <c r="W167" s="319"/>
      <c r="Y167" s="1259"/>
      <c r="Z167" s="1259"/>
      <c r="AA167" s="1259"/>
      <c r="AB167" s="1259"/>
      <c r="AC167" s="1259"/>
      <c r="AD167" s="1259"/>
      <c r="AE167" s="1259"/>
      <c r="AF167" s="1259"/>
      <c r="AG167" s="1259"/>
      <c r="AH167" s="1259"/>
      <c r="AI167" s="1259"/>
      <c r="AJ167" s="1259"/>
      <c r="AK167" s="1259"/>
    </row>
    <row r="168" ht="17.25" customHeight="1">
      <c r="G168" s="1839"/>
      <c r="H168" s="1839"/>
      <c r="I168" s="1839"/>
      <c r="M168" s="1835"/>
    </row>
    <row r="169" s="1853" customFormat="1" ht="17.25" customHeight="1">
      <c r="A169" s="1840"/>
      <c r="C169" s="1842"/>
      <c r="D169" s="1830"/>
      <c r="E169" s="1847"/>
      <c r="F169" s="1784"/>
      <c r="G169" s="1848"/>
      <c r="H169" s="1830"/>
      <c r="I169" s="1830"/>
      <c r="J169" s="1849"/>
      <c r="K169" s="1760"/>
      <c r="L169" s="1756"/>
      <c r="M169" s="1756"/>
      <c r="N169" s="2048"/>
      <c r="O169" s="1787"/>
      <c r="P169" s="2108"/>
      <c r="Q169" s="2108" t="s">
        <v>109</v>
      </c>
      <c r="R169" s="2502" t="s">
        <v>22</v>
      </c>
      <c r="S169" s="2107" t="s">
        <v>65</v>
      </c>
      <c r="T169" s="1811"/>
      <c r="U169" s="1811" t="s">
        <v>109</v>
      </c>
      <c r="V169" s="1843" t="s">
        <v>22</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r="170" s="1853" customFormat="1" ht="17.25" customHeight="1">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416</v>
      </c>
      <c r="W170" s="319"/>
      <c r="Y170" s="1259"/>
      <c r="Z170" s="1259"/>
      <c r="AA170" s="1259"/>
      <c r="AB170" s="1259"/>
      <c r="AC170" s="1259"/>
      <c r="AD170" s="1259"/>
      <c r="AE170" s="1259"/>
      <c r="AF170" s="1259"/>
      <c r="AG170" s="1259"/>
      <c r="AH170" s="1259"/>
      <c r="AI170" s="1259"/>
      <c r="AJ170" s="1259"/>
      <c r="AK170" s="1259"/>
    </row>
    <row r="171" ht="17.25" customHeight="1">
      <c r="G171" s="1839"/>
      <c r="H171" s="1839"/>
      <c r="I171" s="1839"/>
      <c r="M171" s="1835"/>
    </row>
    <row r="172" s="1853" customFormat="1" ht="17.25" customHeight="1">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109</v>
      </c>
      <c r="V172" s="1843" t="s">
        <v>22</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ht="17.25" customHeight="1">
      <c r="A174" s="1815" t="s">
        <v>1940</v>
      </c>
    </row>
    <row r="175" ht="17.25" customHeight="1">
      <c r="G175" s="1839"/>
      <c r="H175" s="1839"/>
      <c r="I175" s="1839"/>
      <c r="M175" s="1835"/>
    </row>
    <row r="176" s="1853" customFormat="1" ht="17.25" customHeight="1">
      <c r="A176" s="1840"/>
      <c r="C176" s="1842"/>
      <c r="D176" s="2529"/>
      <c r="E176" s="2143"/>
      <c r="F176" s="2145"/>
      <c r="G176" s="2531"/>
      <c r="H176" s="2529"/>
      <c r="I176" s="2529">
        <v>1</v>
      </c>
      <c r="J176" s="2501"/>
      <c r="K176" s="2185" t="s">
        <v>65</v>
      </c>
      <c r="L176" s="2108"/>
      <c r="M176" s="2108" t="s">
        <v>109</v>
      </c>
      <c r="N176" s="2504" t="str">
        <f>IF(Z176="","",INDEX(TERRITORY_MR_LIST,MATCH(Z176,TERRITORY_LIST_ID,0)))</f>
        <v/>
      </c>
      <c r="O176" s="2185" t="s">
        <v>65</v>
      </c>
      <c r="P176" s="2108"/>
      <c r="Q176" s="2108" t="s">
        <v>109</v>
      </c>
      <c r="R176" s="2502" t="s">
        <v>22</v>
      </c>
      <c r="S176" s="2406" t="s">
        <v>19</v>
      </c>
      <c r="T176" s="1802"/>
      <c r="U176" s="1802" t="s">
        <v>109</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r="177" s="1853" customFormat="1" ht="17.25" customHeight="1">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r="178" s="1853" customFormat="1" ht="17.25" customHeight="1">
      <c r="A178" s="1840"/>
      <c r="C178" s="1845"/>
      <c r="D178" s="2503"/>
      <c r="E178" s="2530"/>
      <c r="F178" s="2146"/>
      <c r="G178" s="2532"/>
      <c r="H178" s="2503"/>
      <c r="I178" s="2503"/>
      <c r="J178" s="2533"/>
      <c r="K178" s="2186"/>
      <c r="L178" s="2503"/>
      <c r="M178" s="2503"/>
      <c r="N178" s="2505"/>
      <c r="O178" s="2112"/>
      <c r="P178" s="317"/>
      <c r="Q178" s="318"/>
      <c r="R178" s="318" t="s">
        <v>417</v>
      </c>
      <c r="S178" s="1846"/>
      <c r="T178" s="1846"/>
      <c r="U178" s="1846"/>
      <c r="V178" s="1846"/>
      <c r="W178" s="1433"/>
      <c r="Y178" s="1259"/>
      <c r="Z178" s="1259"/>
      <c r="AA178" s="1259"/>
      <c r="AB178" s="1259"/>
      <c r="AC178" s="1259"/>
      <c r="AD178" s="1259"/>
      <c r="AE178" s="1259"/>
      <c r="AF178" s="1259"/>
      <c r="AG178" s="1259"/>
      <c r="AH178" s="1259"/>
      <c r="AI178" s="1259"/>
      <c r="AJ178" s="1259"/>
      <c r="AK178" s="1259"/>
    </row>
    <row r="179" s="1853" customFormat="1" ht="17.25" customHeight="1">
      <c r="A179" s="1840"/>
      <c r="C179" s="1845"/>
      <c r="D179" s="2503"/>
      <c r="E179" s="2530"/>
      <c r="F179" s="2146"/>
      <c r="G179" s="2532"/>
      <c r="H179" s="2503"/>
      <c r="I179" s="2503"/>
      <c r="J179" s="2533"/>
      <c r="K179" s="2112"/>
      <c r="L179" s="317"/>
      <c r="M179" s="318"/>
      <c r="N179" s="318" t="s">
        <v>418</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r="180" s="1853" customFormat="1" ht="17.25" customHeight="1">
      <c r="A180" s="1840"/>
      <c r="C180" s="1845"/>
      <c r="D180" s="2503"/>
      <c r="E180" s="2530"/>
      <c r="F180" s="2147"/>
      <c r="G180" s="2532"/>
      <c r="H180" s="317"/>
      <c r="I180" s="318"/>
      <c r="J180" s="318" t="s">
        <v>450</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r="181" ht="17.25" customHeight="1">
      <c r="A181" s="1850"/>
    </row>
    <row r="182" s="1853" customFormat="1" ht="17.25" customHeight="1">
      <c r="A182" s="1840"/>
      <c r="C182" s="1842"/>
      <c r="D182" s="1830"/>
      <c r="E182" s="1847"/>
      <c r="F182" s="1784"/>
      <c r="G182" s="1848"/>
      <c r="H182" s="2529"/>
      <c r="I182" s="2529">
        <v>1</v>
      </c>
      <c r="J182" s="2501"/>
      <c r="K182" s="2185" t="s">
        <v>65</v>
      </c>
      <c r="L182" s="2108"/>
      <c r="M182" s="2108" t="s">
        <v>109</v>
      </c>
      <c r="N182" s="2504" t="str">
        <f>IF(Z182="","",INDEX(TERRITORY_MR_LIST,MATCH(Z182,TERRITORY_LIST_ID,0)))</f>
        <v/>
      </c>
      <c r="O182" s="2185" t="s">
        <v>65</v>
      </c>
      <c r="P182" s="2108"/>
      <c r="Q182" s="2108" t="s">
        <v>109</v>
      </c>
      <c r="R182" s="2502" t="s">
        <v>22</v>
      </c>
      <c r="S182" s="2406" t="s">
        <v>19</v>
      </c>
      <c r="T182" s="1802"/>
      <c r="U182" s="1802" t="s">
        <v>109</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r="183" s="1853" customFormat="1" ht="17.25" customHeight="1">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r="184" s="1853" customFormat="1" ht="17.25" customHeight="1">
      <c r="A184" s="1840"/>
      <c r="C184" s="1845"/>
      <c r="D184" s="1830"/>
      <c r="E184" s="1847"/>
      <c r="F184" s="1784"/>
      <c r="G184" s="1848"/>
      <c r="H184" s="2503"/>
      <c r="I184" s="2503"/>
      <c r="J184" s="2533"/>
      <c r="K184" s="2186"/>
      <c r="L184" s="2503"/>
      <c r="M184" s="2503"/>
      <c r="N184" s="2505"/>
      <c r="O184" s="2112"/>
      <c r="P184" s="317"/>
      <c r="Q184" s="318"/>
      <c r="R184" s="318" t="s">
        <v>417</v>
      </c>
      <c r="S184" s="1846"/>
      <c r="T184" s="1846"/>
      <c r="U184" s="1846"/>
      <c r="V184" s="1846"/>
      <c r="W184" s="1433"/>
      <c r="Y184" s="1259"/>
      <c r="Z184" s="1259"/>
      <c r="AA184" s="1259"/>
      <c r="AB184" s="1259"/>
      <c r="AC184" s="1259"/>
      <c r="AD184" s="1259"/>
      <c r="AE184" s="1259"/>
      <c r="AF184" s="1259"/>
      <c r="AG184" s="1259"/>
      <c r="AH184" s="1259"/>
      <c r="AI184" s="1259"/>
      <c r="AJ184" s="1259"/>
      <c r="AK184" s="1259"/>
    </row>
    <row r="185" s="1853" customFormat="1" ht="17.25" customHeight="1">
      <c r="A185" s="1840"/>
      <c r="C185" s="1845"/>
      <c r="D185" s="1830"/>
      <c r="E185" s="1847"/>
      <c r="F185" s="1784"/>
      <c r="G185" s="1848"/>
      <c r="H185" s="2503"/>
      <c r="I185" s="2503"/>
      <c r="J185" s="2533"/>
      <c r="K185" s="2112"/>
      <c r="L185" s="317"/>
      <c r="M185" s="318"/>
      <c r="N185" s="318" t="s">
        <v>418</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r="186" ht="17.25" customHeight="1">
      <c r="A186" s="1850"/>
    </row>
    <row r="187" s="1853" customFormat="1" ht="17.25" customHeight="1">
      <c r="A187" s="1840"/>
      <c r="C187" s="1842"/>
      <c r="D187" s="1830"/>
      <c r="E187" s="1847"/>
      <c r="F187" s="1784"/>
      <c r="G187" s="1848"/>
      <c r="H187" s="1830"/>
      <c r="I187" s="1830"/>
      <c r="J187" s="1851"/>
      <c r="K187" s="1848"/>
      <c r="L187" s="2108"/>
      <c r="M187" s="2108" t="s">
        <v>109</v>
      </c>
      <c r="N187" s="2504" t="str">
        <f>IF(Z187="","",INDEX(TERRITORY_MR_LIST,MATCH(Z187,TERRITORY_LIST_ID,0)))</f>
        <v/>
      </c>
      <c r="O187" s="2185" t="s">
        <v>65</v>
      </c>
      <c r="P187" s="2108"/>
      <c r="Q187" s="2108" t="s">
        <v>109</v>
      </c>
      <c r="R187" s="2502" t="s">
        <v>22</v>
      </c>
      <c r="S187" s="2406" t="s">
        <v>19</v>
      </c>
      <c r="T187" s="1802"/>
      <c r="U187" s="1802" t="s">
        <v>109</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r="188" s="1853" customFormat="1" ht="17.25" customHeight="1">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r="189" s="1853" customFormat="1" ht="17.25" customHeight="1">
      <c r="A189" s="1840"/>
      <c r="C189" s="1845"/>
      <c r="D189" s="1830"/>
      <c r="E189" s="1847"/>
      <c r="F189" s="1784"/>
      <c r="G189" s="1848"/>
      <c r="H189" s="1830"/>
      <c r="I189" s="1830"/>
      <c r="J189" s="1851"/>
      <c r="K189" s="1848"/>
      <c r="L189" s="2503"/>
      <c r="M189" s="2503"/>
      <c r="N189" s="2505"/>
      <c r="O189" s="2112"/>
      <c r="P189" s="317"/>
      <c r="Q189" s="318"/>
      <c r="R189" s="318" t="s">
        <v>417</v>
      </c>
      <c r="S189" s="1846"/>
      <c r="T189" s="1846"/>
      <c r="U189" s="1846"/>
      <c r="V189" s="1846"/>
      <c r="W189" s="1433"/>
      <c r="Y189" s="1259"/>
      <c r="Z189" s="1259"/>
      <c r="AA189" s="1259"/>
      <c r="AB189" s="1259"/>
      <c r="AC189" s="1259"/>
      <c r="AD189" s="1259"/>
      <c r="AE189" s="1259"/>
      <c r="AF189" s="1259"/>
      <c r="AG189" s="1259"/>
      <c r="AH189" s="1259"/>
      <c r="AI189" s="1259"/>
      <c r="AJ189" s="1259"/>
      <c r="AK189" s="1259"/>
    </row>
    <row r="190" ht="17.25" customHeight="1">
      <c r="A190" s="1850"/>
    </row>
    <row r="191" s="1853" customFormat="1" ht="17.25" customHeight="1">
      <c r="A191" s="1840"/>
      <c r="C191" s="1842"/>
      <c r="D191" s="1830"/>
      <c r="E191" s="1847"/>
      <c r="F191" s="1784"/>
      <c r="G191" s="1848"/>
      <c r="H191" s="1830"/>
      <c r="I191" s="1830"/>
      <c r="J191" s="1851"/>
      <c r="K191" s="1848"/>
      <c r="L191" s="1830"/>
      <c r="M191" s="1830"/>
      <c r="N191" s="2048"/>
      <c r="O191" s="1787"/>
      <c r="P191" s="2108"/>
      <c r="Q191" s="2108" t="s">
        <v>109</v>
      </c>
      <c r="R191" s="2502" t="s">
        <v>22</v>
      </c>
      <c r="S191" s="2406" t="s">
        <v>19</v>
      </c>
      <c r="T191" s="1802"/>
      <c r="U191" s="1802" t="s">
        <v>109</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r="192" s="1853" customFormat="1" ht="17.25" customHeight="1">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r="193" ht="17.25" customHeight="1">
      <c r="A193" s="1850"/>
    </row>
    <row r="194" ht="16.5" customHeight="1">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r="195" ht="16.5" customHeight="1">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r="196" ht="17.25" customHeight="1">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r="197" ht="17.25" customHeight="1">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r="198" ht="17.25" customHeight="1">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ht="17.25" customHeight="1">
      <c r="A200" s="1815" t="s">
        <v>1941</v>
      </c>
    </row>
    <row r="201" ht="17.25" customHeight="1">
      <c r="G201" s="1839"/>
      <c r="H201" s="1839"/>
      <c r="I201" s="1839"/>
      <c r="M201" s="1835"/>
    </row>
    <row r="202" s="1850" customFormat="1" ht="15" customHeight="1">
      <c r="D202" s="2523"/>
      <c r="E202" s="2199"/>
      <c r="F202" s="2199"/>
      <c r="G202" s="2185"/>
      <c r="H202" s="1564"/>
      <c r="I202" s="2527">
        <v>1</v>
      </c>
      <c r="J202" s="2501"/>
      <c r="K202" s="1579"/>
      <c r="L202" s="2185" t="s">
        <v>65</v>
      </c>
      <c r="M202" s="2185" t="s">
        <v>65</v>
      </c>
      <c r="N202" s="1564"/>
      <c r="O202" s="2108" t="s">
        <v>109</v>
      </c>
      <c r="P202" s="2517"/>
      <c r="Q202" s="1580"/>
      <c r="R202" s="2185" t="s">
        <v>65</v>
      </c>
      <c r="S202" s="2185" t="s">
        <v>65</v>
      </c>
      <c r="T202" s="1855"/>
      <c r="U202" s="2108" t="s">
        <v>109</v>
      </c>
      <c r="V202" s="2524" t="str">
        <f>IF(AK202="","",INDEX(TERRITORY_MR_LIST,MATCH(AK202,TERRITORY_LIST_ID,0)))</f>
        <v/>
      </c>
      <c r="W202" s="1581"/>
      <c r="X202" s="2185" t="s">
        <v>65</v>
      </c>
      <c r="Y202" s="2185" t="s">
        <v>19</v>
      </c>
      <c r="Z202" s="1564"/>
      <c r="AA202" s="2108" t="s">
        <v>109</v>
      </c>
      <c r="AB202" s="2526"/>
      <c r="AC202" s="1582"/>
      <c r="AD202" s="2185" t="s">
        <v>65</v>
      </c>
      <c r="AE202" s="2185" t="s">
        <v>19</v>
      </c>
      <c r="AF202" s="1562"/>
      <c r="AG202" s="1811" t="s">
        <v>109</v>
      </c>
      <c r="AH202" s="1572"/>
      <c r="AI202" s="1801"/>
    </row>
    <row r="203" s="1850" customFormat="1" ht="15" customHeight="1">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1942</v>
      </c>
      <c r="AI203" s="2519"/>
    </row>
    <row r="204" s="1850" customFormat="1" ht="15" customHeight="1">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1943</v>
      </c>
      <c r="AC204" s="2520"/>
      <c r="AD204" s="2520"/>
      <c r="AE204" s="2520"/>
      <c r="AF204" s="2520"/>
      <c r="AG204" s="2520"/>
      <c r="AH204" s="2520"/>
      <c r="AI204" s="2521"/>
    </row>
    <row r="205" s="1850" customFormat="1" ht="15" customHeight="1">
      <c r="D205" s="2523"/>
      <c r="E205" s="2199"/>
      <c r="F205" s="2199"/>
      <c r="G205" s="2186"/>
      <c r="H205" s="1564"/>
      <c r="I205" s="2527"/>
      <c r="J205" s="2501"/>
      <c r="K205" s="1563"/>
      <c r="L205" s="2186"/>
      <c r="M205" s="2186"/>
      <c r="N205" s="1564"/>
      <c r="O205" s="2108"/>
      <c r="P205" s="2522"/>
      <c r="Q205" s="1560"/>
      <c r="R205" s="2186"/>
      <c r="S205" s="2186"/>
      <c r="T205" s="1856"/>
      <c r="U205" s="1604"/>
      <c r="V205" s="2518" t="s">
        <v>103</v>
      </c>
      <c r="W205" s="2518"/>
      <c r="X205" s="2518"/>
      <c r="Y205" s="2518"/>
      <c r="Z205" s="2518"/>
      <c r="AA205" s="2518"/>
      <c r="AB205" s="2518"/>
      <c r="AC205" s="2518"/>
      <c r="AD205" s="2518"/>
      <c r="AE205" s="2518"/>
      <c r="AF205" s="2518"/>
      <c r="AG205" s="2518"/>
      <c r="AH205" s="2518"/>
      <c r="AI205" s="2519"/>
    </row>
    <row r="206" s="1850" customFormat="1" ht="11.25" customHeight="1">
      <c r="D206" s="2523"/>
      <c r="E206" s="2199"/>
      <c r="F206" s="2199"/>
      <c r="G206" s="2186"/>
      <c r="H206" s="1568"/>
      <c r="I206" s="2527"/>
      <c r="J206" s="2528"/>
      <c r="K206" s="1563"/>
      <c r="L206" s="2186"/>
      <c r="M206" s="2186"/>
      <c r="N206" s="1568"/>
      <c r="O206" s="1569"/>
      <c r="P206" s="2518" t="s">
        <v>1944</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r="207" s="1554" customFormat="1" ht="11.25" customHeight="1">
      <c r="D207" s="2523"/>
      <c r="E207" s="2199"/>
      <c r="F207" s="2199"/>
      <c r="G207" s="2112"/>
      <c r="H207" s="1570"/>
      <c r="I207" s="1571"/>
      <c r="J207" s="2518" t="s">
        <v>450</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r="208" ht="17.25" customHeight="1">
      <c r="G208" s="1839"/>
      <c r="I208" s="1839"/>
      <c r="J208" s="1839"/>
      <c r="N208" s="1835"/>
    </row>
    <row r="209" s="1850" customFormat="1" ht="15" customHeight="1">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r="210" s="1850" customFormat="1" ht="15" customHeight="1">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r="211" s="1850" customFormat="1" ht="15" customHeight="1">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r="212" s="1850" customFormat="1" ht="15" customHeight="1">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r="213" s="1850" customFormat="1" ht="11.25" customHeight="1">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r="214" s="1554" customFormat="1" ht="11.25" customHeight="1">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r="215" ht="17.25" customHeight="1">
      <c r="A215" s="1850"/>
    </row>
  </sheetData>
  <sheetProtection autoFilter="0" deleteColumns="0" deleteRows="0" formatColumns="0" formatRows="0" insertColumns="1" insertRows="0" sort="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7">
    <dataValidation sqref="K194:K195 O194:O195 S154:S155 S194:S195 O154 K154 F165:F167 S176:S177 O176 K176 F172 K160 S160:S161 O160 F154:F158 K165 S165:S166 O165 O191 K169 S169:S170 O169 F160:F163 K182 S182:S183 O182 F176:F180 F182:F185 S187:S188 O187 F187:F189 F191:F192 S191:S192 F169:F170" allowBlank="1" prompt="Для выбора выполните двойной щелчок левой клавиши мыши по соответствующей ячейке." showErrorMessage="1" showInputMessage="1"/>
    <dataValidation sqref="G64 T72 I72:J72 X72 T77 I77:J77 X77 F49" allowBlank="1" prompt="Выберите дату из календаря (иконка справа от указанной ячейки), либо введите дату непосредственно в ячейку в формате - 'ДД.ММ.ГГГГ'." showErrorMessage="1" showInputMessage="1"/>
    <dataValidation sqref="G165:G167 G172 G154:G158 G191:G192 G160:G163 G176:G180 G182:G185 G187:G189 G169:G170" allowBlank="1" prompt="Выберите виды деятельности, выполнив двойной щелчок левой кнопки мыши по ячейке." showErrorMessage="1" showInputMessage="1"/>
    <dataValidation sqref="J56" allowBlank="1" prompt="Изменение значения по двойному щелчоку левой кнопки мыши" showErrorMessage="1" showInputMessage="1"/>
    <dataValidation sqref="F60" allowBlank="1" prompt="Выберите один или несколько одновременно видов деятельности, выполнив последовательно по одному щелчку на строке с видом деятельности" showErrorMessage="1" showInputMessage="1"/>
    <dataValidation sqref="G72 G77" allowBlank="1" prompt="Для выбора ИП необходимо два раза нажать левую кнопку мыши!" promptTitle="Ввод" showErrorMessage="1" showInputMessage="1"/>
    <dataValidation sqref="N154:N156 N176:N178 N160:N162 N165:N167 N169:N170 N182:N184 N187:N189 N191:N192" allowBlank="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howErrorMessage="1" showInputMessage="1"/>
  </dataValidations>
  <pageMargins left="0.75" right="0.75" top="1" bottom="1" header="0.5" footer="0.5"/>
  <pageSetup paperSize="9"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13">
        <x14:dataValidation xr:uid="{004700E4-009F-46A4-9AE6-009900520010}" type="textLength" allowBlank="1" error="Допускается ввод не более 900 символов!" errorTitle="Ошибка" operator="lessThanOrEqual" showErrorMessage="1" showInputMessage="1">
          <x14:formula1>
            <xm:f>900</xm:f>
          </x14:formula1>
          <xm: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xm:sqref>
        </x14:dataValidation>
        <x14:dataValidation xr:uid="{00890001-00E1-41D4-A48E-006C0077005C}" type="decimal" allowBlank="1" error="Допускается ввод только неотрицательных чисел!" errorTitle="Ошибка" showErrorMessage="1">
          <x14:formula1>
            <xm:f>0</xm:f>
          </x14:formula1>
          <x14:formula2>
            <xm:f>9.99999999999999E+23</xm:f>
          </x14:formula2>
          <xm:sqref>Q147 O147 O150 Q150 Q140 O140 AC84 AE84 AC92 AE92 AE97 AE103 AC103 AC97 T60 H60:I60 AB60 X60 K60 M60 O60 Q60</xm:sqref>
        </x14:dataValidation>
        <x14:dataValidation xr:uid="{000F000F-00EB-48FC-9438-00B7000E001F}" type="list" allowBlank="1" error="Выберите значение из списка" errorTitle="Ошиб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howErrorMessage="1" showInputMessage="1">
          <x14:formula1>
            <xm:f>DESCRIPTION_TERRITORY</xm:f>
          </x14:formula1>
          <xm:sqref>N194:N196</xm:sqref>
        </x14:dataValidation>
        <x14:dataValidation xr:uid="{006900D4-00C5-4059-9085-007200930077}" type="textLength" allowBlank="1" error="Допускается ввод не более 900 символов!" errorTitle="Ошибка" operator="lessThanOrEqual" prompt="Введите ссылку на обосновывающие материалы, загруженные с помощью &quot;ЕИАС Web&quot;." showErrorMessage="1" showInputMessage="1">
          <x14:formula1>
            <xm:f>900</xm:f>
          </x14:formula1>
          <xm:sqref>H64 K56 F68</xm:sqref>
        </x14:dataValidation>
        <x14:dataValidation xr:uid="{00690003-0015-400D-AA73-0030006E0017}" type="list" allowBlank="1" error="для выбора выполните двойной щелчок по ячейке" prompt="Для выбора выполните двойной щелчок левой клавиши мыши по соответствующей ячейке." showDropDown="1" showErrorMessage="1" showInputMessage="1">
          <x14:formula1>
            <xm:f>"a"</xm:f>
          </x14:formula1>
          <xm:sqref>F39 I82:J85 K72 K77 I97:J97 I101:J104</xm:sqref>
        </x14:dataValidation>
        <x14:dataValidation xr:uid="{006F00EA-006A-4750-9C67-0068006F008C}" type="textLength" allowBlank="1" error="Допускается ввод не более 900 символов!" operator="lessThan" showErrorMessage="1" showInputMessage="1">
          <x14:formula1>
            <xm:f>900</xm:f>
          </x14:formula1>
          <xm:sqref>M29 M23</xm:sqref>
        </x14:dataValidation>
        <x14:dataValidation xr:uid="{00040084-0041-4E8C-8132-003200A10078}" type="list" allowBlank="1" showErrorMessage="1" showInputMessage="1">
          <x14:formula1>
            <xm:f>DESCRIPTION_TERRITORY</xm:f>
          </x14:formula1>
          <xm:sqref>I34</xm:sqref>
        </x14:dataValidation>
        <x14:dataValidation xr:uid="{00D40096-00F5-42BC-8D96-002000F700D4}" type="list" allowBlank="1" error="Выберите значение из списка" errorTitle="Ошибка" prompt="Выберите значение из списка" showErrorMessage="1" showInputMessage="1">
          <x14:formula1>
            <xm:f>kind_of_power_te_unit</xm:f>
          </x14:formula1>
          <xm:sqref>L60</xm:sqref>
        </x14:dataValidation>
        <x14:dataValidation xr:uid="{006800DA-0093-43DC-8578-009000C70063}" type="whole" allowBlank="1" error="Допускается ввод только неотрицательных целых чисел!" errorTitle="Ошибка" showErrorMessage="1">
          <x14:formula1>
            <xm:f>0</xm:f>
          </x14:formula1>
          <x14:formula2>
            <xm:f>9.99999999999999E+23</xm:f>
          </x14:formula2>
          <xm:sqref>AF91:AF93 AI91:AI93 AF101:AF105 AI101:AI105 AF97 AI97 AF82:AF86 AI82:AI86 N60 P60 U60:V60 Y60:Z60 J60 R60:S60 AC60</xm:sqref>
        </x14:dataValidation>
        <x14:dataValidation xr:uid="{002500C1-00B3-4FAC-BEEC-00C900420002}" type="list" allowBlank="1" error="Выберите значение из списка" errorTitle="Ошибка" prompt="Выберите значение из списка" showErrorMessage="1" showInputMessage="1">
          <x14:formula1>
            <xm:f>kind_of_purchase_method</xm:f>
          </x14:formula1>
          <xm:sqref>J140:J141 J147:J148 J150</xm:sqref>
        </x14:dataValidation>
        <x14:dataValidation xr:uid="{000A00E5-001E-4A35-8E97-009A00F40054}" type="list" allowBlank="1" error="Выберите значение из списка" errorTitle="Ошибка" prompt="Выберите значение из списка" showErrorMessage="1" showInputMessage="1">
          <x14:formula1>
            <xm:f>QRE_METHOD_LIST</xm:f>
          </x14:formula1>
          <xm:sqref>H110</xm:sqref>
        </x14:dataValidation>
        <x14:dataValidation xr:uid="{005D00A6-00CE-49FA-9678-003700050015}" type="list" allowBlank="1" error="Выберите значение из списка" errorStyle="warning" errorTitle="Ошибка" prompt="Выберите значение из списка или укажите свой вид твердых коммунальных отходов" showInputMessage="1">
          <x14:formula1>
            <xm:f>list_typeTKO</xm:f>
          </x14:formula1>
          <xm:sqref>AC202 AC209</xm:sqref>
        </x14:dataValidation>
        <x14:dataValidation xr:uid="{00CB00D9-00A8-4EC9-997C-00CE00360095}" type="decimal" allowBlank="1" error="Допускается ввод только действительных чисел!" errorTitle="Ошибка" showErrorMessage="1">
          <x14:formula1>
            <xm:f>-9.99999999999999E+23</xm:f>
          </x14:formula1>
          <x14:formula2>
            <xm:f>9.99999999999999E+23</xm:f>
          </x14:formula2>
          <xm:sqref>CY110:DJ110 BT110:CK110 O110:AB110</xm:sqref>
        </x14:dataValidation>
      </x14:dataValidations>
    </ext>
  </extLst>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sheetPr>
  <sheetViews>
    <sheetView showGridLines="0" topLeftCell="A1" workbookViewId="0">
      <selection activeCell="A1" sqref="A1"/>
    </sheetView>
  </sheetViews>
  <sheetFormatPr defaultColWidth="43.140625" defaultRowHeight="9" customHeight="1"/>
  <cols>
    <col min="1" max="1" style="840" width="43.140625"/>
    <col hidden="1" min="2" max="2" style="840" width="43.140625"/>
    <col min="3" max="3" style="840" width="43.140625"/>
    <col customWidth="1" min="4" max="5" style="840" width="36.421875"/>
    <col customWidth="1" min="6" max="8" style="981" width="36.421875"/>
  </cols>
  <sheetData>
    <row r="1" ht="9" customHeight="1">
      <c r="A1" s="846" t="s">
        <v>1945</v>
      </c>
      <c r="B1" s="846"/>
      <c r="C1" s="982" t="s">
        <v>1946</v>
      </c>
      <c r="D1" s="980" t="s">
        <v>810</v>
      </c>
      <c r="E1" s="980" t="s">
        <v>856</v>
      </c>
      <c r="F1" s="980" t="s">
        <v>909</v>
      </c>
      <c r="G1" s="980" t="s">
        <v>896</v>
      </c>
      <c r="H1" s="980" t="s">
        <v>1622</v>
      </c>
    </row>
    <row r="2" ht="9" customHeight="1">
      <c r="A2" s="983" t="s">
        <v>1947</v>
      </c>
      <c r="B2" s="983"/>
      <c r="C2" s="984" t="str">
        <f>INDEX(TEMPLATE_NUMBER_FORM_LIST,MATCH(TEMPLATE_SPHERE,TEMPLATE_SPHERE_LIST,0))</f>
        <v>10</v>
      </c>
      <c r="D2" s="983" t="s">
        <v>1471</v>
      </c>
      <c r="E2" s="983" t="s">
        <v>153</v>
      </c>
      <c r="F2" s="985" t="s">
        <v>153</v>
      </c>
      <c r="G2" s="983" t="s">
        <v>153</v>
      </c>
      <c r="H2" s="986"/>
    </row>
    <row r="3" ht="63" customHeight="1">
      <c r="A3" s="846"/>
      <c r="B3" s="846" t="s">
        <v>109</v>
      </c>
      <c r="C3" s="984" t="str">
        <f>IF(TEMPLATE_SPHERE="HEAT",D3,IF(TEMPLATE_SPHERE="TKO",H3,E3))</f>
        <v xml:space="preserve">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D3" s="984" t="s">
        <v>1948</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 xml:space="preserve">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F3" s="985"/>
      <c r="G3" s="986"/>
      <c r="H3" s="846"/>
    </row>
    <row r="4" ht="243" customHeight="1">
      <c r="A4" s="846" t="s">
        <v>1949</v>
      </c>
      <c r="B4" s="846" t="s">
        <v>110</v>
      </c>
      <c r="C4" s="984" t="str">
        <f>IF(TEMPLATE_SPHERE="HEAT",D4,IF(TEMPLATE_SPHERE="TKO",H4,E4))</f>
        <v xml:space="preserve">Форма 1. Информация об организации, осуществляющей водоотведение (общая информация)</v>
      </c>
      <c r="D4" s="983" t="s">
        <v>1950</v>
      </c>
      <c r="E4" s="984" t="str">
        <f>"Форма 1. Информация об организации, осуществляющей "&amp;TEMPLATE_SPHERE_RUS_2&amp;" (общая информация)"</f>
        <v xml:space="preserve">Форма 1. Информация об организации, осуществляющей водоотведение (общая информация)</v>
      </c>
      <c r="F4" s="983"/>
      <c r="G4" s="983"/>
      <c r="H4" s="846" t="s">
        <v>1951</v>
      </c>
    </row>
    <row r="5" ht="117" customHeight="1">
      <c r="A5" s="846" t="s">
        <v>1952</v>
      </c>
      <c r="B5" s="846" t="s">
        <v>89</v>
      </c>
      <c r="C5" s="984" t="str">
        <f>IF(TEMPLATE_SPHERE="HEAT",D5,IF(TEMPLATE_SPHERE="TKO",H5,E5))</f>
        <v xml:space="preserve">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D5" s="846" t="s">
        <v>1953</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 xml:space="preserve">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F5" s="986"/>
      <c r="G5" s="986"/>
      <c r="H5" s="846" t="s">
        <v>1954</v>
      </c>
    </row>
    <row r="6" ht="90" customHeight="1">
      <c r="A6" s="846" t="s">
        <v>1955</v>
      </c>
      <c r="B6" s="846" t="s">
        <v>90</v>
      </c>
      <c r="C6" s="984" t="str">
        <f>IF(TEMPLATE_SPHERE="HEAT",D6,E6)</f>
        <v xml:space="preserve">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 xml:space="preserve">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 xml:space="preserve">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6" s="846"/>
      <c r="G6" s="846"/>
      <c r="H6" s="986"/>
    </row>
    <row r="7" ht="45" customHeight="1">
      <c r="A7" s="846" t="s">
        <v>1956</v>
      </c>
      <c r="B7" s="846" t="s">
        <v>111</v>
      </c>
      <c r="C7" s="984" t="str">
        <f>IF(TEMPLATE_SPHERE="HEAT",D7,E7)</f>
        <v xml:space="preserve">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6" t="s">
        <v>1957</v>
      </c>
      <c r="E7" s="846" t="s">
        <v>1958</v>
      </c>
      <c r="F7" s="986"/>
      <c r="G7" s="986"/>
      <c r="H7" s="986"/>
    </row>
    <row r="8" ht="108" customHeight="1">
      <c r="A8" s="846" t="s">
        <v>1959</v>
      </c>
      <c r="B8" s="846" t="s">
        <v>91</v>
      </c>
      <c r="C8" s="984" t="str">
        <f>IF(TEMPLATE_SPHERE="HEAT",D8,E8)</f>
        <v xml:space="preserve">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6" t="s">
        <v>1158</v>
      </c>
      <c r="E8" s="846" t="s">
        <v>1960</v>
      </c>
      <c r="F8" s="986"/>
      <c r="G8" s="986"/>
      <c r="H8" s="986"/>
    </row>
    <row r="9" ht="99" customHeight="1">
      <c r="A9" s="846" t="s">
        <v>1961</v>
      </c>
      <c r="B9" s="846"/>
      <c r="C9" s="846" t="s">
        <v>1962</v>
      </c>
      <c r="D9" s="846"/>
      <c r="E9" s="846"/>
      <c r="F9" s="986"/>
      <c r="G9" s="986"/>
      <c r="H9" s="986"/>
    </row>
    <row r="10" ht="126" customHeight="1">
      <c r="A10" s="846" t="s">
        <v>1963</v>
      </c>
      <c r="B10" s="846"/>
      <c r="C10" s="846" t="s">
        <v>1964</v>
      </c>
      <c r="D10" s="846"/>
      <c r="E10" s="846"/>
      <c r="F10" s="986"/>
      <c r="G10" s="986"/>
      <c r="H10" s="986"/>
    </row>
    <row r="11" ht="108" customHeight="1">
      <c r="A11" s="846" t="s">
        <v>1965</v>
      </c>
      <c r="B11" s="846"/>
      <c r="C11" s="846" t="s">
        <v>1966</v>
      </c>
      <c r="D11" s="846"/>
      <c r="E11" s="846"/>
      <c r="F11" s="986"/>
      <c r="G11" s="986"/>
      <c r="H11" s="986"/>
    </row>
    <row r="12" ht="54" customHeight="1">
      <c r="A12" s="846" t="s">
        <v>1967</v>
      </c>
      <c r="B12" s="846"/>
      <c r="C12" s="846" t="s">
        <v>1968</v>
      </c>
      <c r="D12" s="846"/>
      <c r="E12" s="846"/>
      <c r="F12" s="986"/>
      <c r="G12" s="986"/>
      <c r="H12" s="986"/>
    </row>
    <row r="13" ht="45" customHeight="1">
      <c r="A13" s="846" t="s">
        <v>1969</v>
      </c>
      <c r="B13" s="846"/>
      <c r="C13" s="846" t="s">
        <v>1970</v>
      </c>
      <c r="D13" s="846"/>
      <c r="E13" s="846"/>
      <c r="F13" s="986"/>
      <c r="G13" s="986"/>
      <c r="H13" s="986"/>
    </row>
    <row r="14" ht="117" customHeight="1">
      <c r="A14" s="846" t="s">
        <v>1971</v>
      </c>
      <c r="B14" s="846"/>
      <c r="C14" s="846" t="s">
        <v>1972</v>
      </c>
      <c r="D14" s="846"/>
      <c r="E14" s="846"/>
      <c r="F14" s="986"/>
      <c r="G14" s="986"/>
      <c r="H14" s="986"/>
    </row>
    <row r="15" ht="117" customHeight="1">
      <c r="A15" s="846" t="s">
        <v>1973</v>
      </c>
      <c r="B15" s="846"/>
      <c r="C15" s="846" t="s">
        <v>1974</v>
      </c>
      <c r="D15" s="846"/>
      <c r="E15" s="846"/>
      <c r="F15" s="986"/>
      <c r="G15" s="986"/>
      <c r="H15" s="986"/>
    </row>
    <row r="16" ht="63" customHeight="1">
      <c r="A16" s="846" t="s">
        <v>1975</v>
      </c>
      <c r="B16" s="846"/>
      <c r="C16" s="846" t="s">
        <v>1976</v>
      </c>
      <c r="D16" s="846"/>
      <c r="E16" s="846"/>
      <c r="F16" s="986"/>
      <c r="G16" s="986"/>
      <c r="H16" s="986"/>
    </row>
    <row r="17" ht="54" customHeight="1">
      <c r="A17" s="846" t="s">
        <v>1977</v>
      </c>
      <c r="B17" s="846"/>
      <c r="C17" s="984" t="s">
        <v>1978</v>
      </c>
      <c r="D17" s="846"/>
      <c r="E17" s="846"/>
      <c r="F17" s="986"/>
      <c r="G17" s="986"/>
      <c r="H17" s="986"/>
    </row>
    <row r="18" ht="27" customHeight="1">
      <c r="A18" s="846" t="s">
        <v>1979</v>
      </c>
      <c r="B18" s="846"/>
      <c r="C18" s="984" t="s">
        <v>1980</v>
      </c>
      <c r="D18" s="846"/>
      <c r="E18" s="846"/>
      <c r="F18" s="986"/>
      <c r="G18" s="986"/>
      <c r="H18" s="986"/>
    </row>
    <row r="19" ht="54" customHeight="1">
      <c r="A19" s="846" t="s">
        <v>1981</v>
      </c>
      <c r="B19" s="846"/>
      <c r="C19" s="984" t="s">
        <v>1982</v>
      </c>
      <c r="D19" s="846"/>
      <c r="E19" s="846"/>
      <c r="F19" s="986"/>
      <c r="G19" s="986"/>
      <c r="H19" s="986"/>
    </row>
    <row r="20" ht="36" customHeight="1">
      <c r="A20" s="846" t="s">
        <v>1983</v>
      </c>
      <c r="B20" s="846"/>
      <c r="C20" s="984" t="s">
        <v>1984</v>
      </c>
      <c r="D20" s="846"/>
      <c r="E20" s="846"/>
      <c r="F20" s="986"/>
      <c r="G20" s="986"/>
      <c r="H20" s="986"/>
    </row>
    <row r="21" ht="36" customHeight="1">
      <c r="A21" s="846" t="s">
        <v>1985</v>
      </c>
      <c r="B21" s="846"/>
      <c r="C21" s="984" t="s">
        <v>1986</v>
      </c>
      <c r="D21" s="846"/>
      <c r="E21" s="846"/>
      <c r="F21" s="986"/>
      <c r="G21" s="986"/>
      <c r="H21" s="986"/>
    </row>
    <row r="22" ht="27" customHeight="1">
      <c r="A22" s="846" t="s">
        <v>1987</v>
      </c>
      <c r="B22" s="846"/>
      <c r="C22" s="984" t="s">
        <v>1988</v>
      </c>
      <c r="D22" s="846"/>
      <c r="E22" s="846"/>
      <c r="F22" s="986"/>
      <c r="G22" s="986"/>
      <c r="H22" s="986"/>
    </row>
    <row r="23" ht="36" customHeight="1">
      <c r="A23" s="846" t="s">
        <v>1989</v>
      </c>
      <c r="B23" s="846"/>
      <c r="C23" s="984" t="s">
        <v>1990</v>
      </c>
      <c r="D23" s="846"/>
      <c r="E23" s="846"/>
      <c r="F23" s="986"/>
      <c r="G23" s="986"/>
      <c r="H23" s="986"/>
    </row>
    <row r="24" ht="28.5" customHeight="1">
      <c r="A24" s="846" t="s">
        <v>1991</v>
      </c>
      <c r="B24" s="846"/>
      <c r="C24" s="984" t="s">
        <v>1992</v>
      </c>
      <c r="D24" s="846"/>
      <c r="E24" s="846"/>
      <c r="F24" s="986"/>
      <c r="G24" s="986"/>
      <c r="H24" s="986"/>
    </row>
    <row r="25" ht="36" customHeight="1">
      <c r="A25" s="846" t="s">
        <v>1993</v>
      </c>
      <c r="B25" s="846"/>
      <c r="C25" s="984" t="s">
        <v>1994</v>
      </c>
      <c r="D25" s="846"/>
      <c r="E25" s="846"/>
      <c r="F25" s="986"/>
      <c r="G25" s="986"/>
      <c r="H25" s="986"/>
    </row>
    <row r="26" ht="27" customHeight="1">
      <c r="A26" s="846" t="s">
        <v>1995</v>
      </c>
      <c r="B26" s="846"/>
      <c r="C26" s="984" t="s">
        <v>1996</v>
      </c>
      <c r="D26" s="846"/>
      <c r="E26" s="846"/>
      <c r="F26" s="986"/>
      <c r="G26" s="986"/>
      <c r="H26" s="986"/>
    </row>
    <row r="27" ht="36" customHeight="1">
      <c r="A27" s="846" t="s">
        <v>1997</v>
      </c>
      <c r="B27" s="846"/>
      <c r="C27" s="984" t="s">
        <v>1998</v>
      </c>
      <c r="D27" s="846"/>
      <c r="E27" s="846"/>
      <c r="F27" s="986"/>
      <c r="G27" s="986"/>
      <c r="H27" s="986"/>
    </row>
    <row r="28" ht="28.5" customHeight="1">
      <c r="A28" s="846" t="s">
        <v>1999</v>
      </c>
      <c r="B28" s="846"/>
      <c r="C28" s="984" t="s">
        <v>2000</v>
      </c>
      <c r="D28" s="846"/>
      <c r="E28" s="846"/>
      <c r="F28" s="986"/>
      <c r="G28" s="986"/>
      <c r="H28" s="986"/>
    </row>
    <row r="29" ht="126" customHeight="1">
      <c r="A29" s="846" t="s">
        <v>2001</v>
      </c>
      <c r="B29" s="846" t="s">
        <v>1573</v>
      </c>
      <c r="C29" s="984" t="str">
        <f>IF(TEMPLATE_SPHERE="HEAT",D29,IF(TEMPLATE_SPHERE="TKO",H29,E29))</f>
        <v xml:space="preserve">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D29" s="846" t="s">
        <v>2002</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 xml:space="preserve">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F29" s="986"/>
      <c r="G29" s="986"/>
      <c r="H29" s="846" t="s">
        <v>2003</v>
      </c>
    </row>
    <row r="30" ht="36" customHeight="1">
      <c r="A30" s="846" t="s">
        <v>2004</v>
      </c>
      <c r="B30" s="846"/>
      <c r="C30" s="984" t="str">
        <f>IF(TEMPLATE_SPHERE="HEAT",D30,IF(TEMPLATE_SPHERE="TKO",H30,E30))</f>
        <v xml:space="preserve">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D30" s="846" t="s">
        <v>2005</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 xml:space="preserve">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F30" s="986"/>
      <c r="G30" s="986"/>
      <c r="H30" s="986"/>
    </row>
    <row r="31" ht="54" customHeight="1">
      <c r="A31" s="846" t="s">
        <v>2006</v>
      </c>
      <c r="B31" s="846"/>
      <c r="C31" s="984" t="str">
        <f>IF(TEMPLATE_SPHERE="HEAT",D31,IF(TEMPLATE_SPHERE="TKO",H31,E31))</f>
        <v xml:space="preserve">Форма 1. Информация об организации, осуществляющей водоотведение (общая информация)</v>
      </c>
      <c r="D31" s="846" t="s">
        <v>2007</v>
      </c>
      <c r="E31" s="849" t="str">
        <f>"Форма 1. Информация об организации, осуществляющей "&amp;TEMPLATE_SPHERE_RUS_2&amp;" (общая информация)"</f>
        <v xml:space="preserve">Форма 1. Информация об организации, осуществляющей водоотведение (общая информация)</v>
      </c>
      <c r="F31" s="986"/>
      <c r="G31" s="986"/>
      <c r="H31" s="986"/>
    </row>
    <row r="32" ht="198" customHeight="1">
      <c r="A32" s="846" t="s">
        <v>2008</v>
      </c>
      <c r="B32" s="846"/>
      <c r="C32" s="984" t="str">
        <f>IF(TEMPLATE_SPHERE="HEAT",D32,IF(TEMPLATE_SPHERE="TKO",H32,E32))</f>
        <v xml:space="preserve">Форма 7. Информация об инвестиционных программах организации водоотведения и отчетах об их исполнении</v>
      </c>
      <c r="D32" s="846" t="s">
        <v>2009</v>
      </c>
      <c r="E32" s="849" t="str">
        <f>"Форма 7. Информация об инвестиционных программах организации "&amp;TEMPLATE_SPHERE_RUS&amp;" и отчетах об их исполнении"</f>
        <v xml:space="preserve">Форма 7. Информация об инвестиционных программах организации водоотведения и отчетах об их исполнении</v>
      </c>
      <c r="F32" s="986"/>
      <c r="G32" s="986"/>
      <c r="H32" s="846" t="s">
        <v>2010</v>
      </c>
    </row>
    <row r="33" ht="9" customHeight="1">
      <c r="A33" s="846"/>
      <c r="B33" s="846"/>
      <c r="C33" s="984"/>
      <c r="D33" s="846"/>
      <c r="E33" s="846"/>
      <c r="F33" s="986"/>
      <c r="G33" s="986"/>
      <c r="H33" s="986"/>
    </row>
    <row r="34" ht="9" customHeight="1">
      <c r="A34" s="846"/>
      <c r="B34" s="846" t="s">
        <v>1509</v>
      </c>
      <c r="C34" s="984">
        <f>INDEX(TEMPLATE_NAME_FORM_LIST,B34,MATCH(TEMPLATE_SPHERE,TEMPLATE_SPHERE_LIST,0))</f>
        <v>0</v>
      </c>
      <c r="D34" s="846"/>
      <c r="E34" s="846"/>
      <c r="F34" s="986"/>
      <c r="G34" s="986"/>
      <c r="H34" s="986"/>
    </row>
  </sheetData>
  <sheetProtection autoFilter="0" deleteColumns="0" deleteRows="0" insertColumns="1" insertRows="0" sort="0"/>
  <pageMargins left="0.69999999999999996" right="0.69999999999999996" top="0.75" bottom="0.75" header="0.29999999999999999" footer="0.29999999999999999"/>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sheetPr>
  <sheetViews>
    <sheetView showGridLines="0" topLeftCell="A1" workbookViewId="0">
      <selection activeCell="A1" sqref="A1"/>
    </sheetView>
  </sheetViews>
  <sheetFormatPr defaultColWidth="9.140625" defaultRowHeight="9" customHeight="1"/>
  <cols>
    <col min="1" max="2" style="840" width="9.140625"/>
    <col customWidth="1" min="3" max="7" style="842" width="8.00390625"/>
    <col customWidth="1" min="8" max="12" style="842" width="8.57421875"/>
    <col customWidth="1" min="13" max="14" style="842" width="27.7109375"/>
    <col customWidth="1" min="15" max="19" style="842" width="5.140625"/>
    <col customWidth="1" min="20" max="24" style="842" width="27.7109375"/>
    <col customWidth="1" min="25" max="25" style="1001" width="1.8515625"/>
    <col customWidth="1" min="26" max="26" style="840" width="27.7109375"/>
    <col customWidth="1" min="27" max="27" style="851" width="27.7109375"/>
    <col customWidth="1" min="28" max="29" style="840" width="27.7109375"/>
    <col customWidth="1" min="30" max="30" style="840" width="3.8515625"/>
    <col min="31" max="34" style="840" width="9.140625"/>
  </cols>
  <sheetData>
    <row r="1" s="839" customFormat="1" ht="18" customHeight="1">
      <c r="A1" s="898"/>
      <c r="B1" s="898"/>
      <c r="C1" s="898" t="s">
        <v>2011</v>
      </c>
      <c r="D1" s="898"/>
      <c r="E1" s="898"/>
      <c r="F1" s="898"/>
      <c r="G1" s="898"/>
      <c r="H1" s="898" t="s">
        <v>2012</v>
      </c>
      <c r="I1" s="898"/>
      <c r="J1" s="898"/>
      <c r="K1" s="898"/>
      <c r="L1" s="898"/>
      <c r="M1" s="898" t="s">
        <v>2013</v>
      </c>
      <c r="N1" s="898" t="s">
        <v>2014</v>
      </c>
      <c r="O1" s="2592" t="s">
        <v>2015</v>
      </c>
      <c r="P1" s="2592"/>
      <c r="Q1" s="2592"/>
      <c r="R1" s="2592"/>
      <c r="S1" s="2592"/>
      <c r="T1" s="2592" t="s">
        <v>2013</v>
      </c>
      <c r="U1" s="2592"/>
      <c r="V1" s="2592"/>
      <c r="W1" s="2592"/>
      <c r="X1" s="2592"/>
      <c r="Y1" s="999"/>
      <c r="Z1" s="2592" t="s">
        <v>2016</v>
      </c>
      <c r="AA1" s="2592"/>
      <c r="AB1" s="2592"/>
      <c r="AC1" s="2592"/>
      <c r="AD1" s="2592"/>
    </row>
    <row r="2" ht="18" customHeight="1">
      <c r="A2" s="846"/>
      <c r="B2" s="846"/>
      <c r="C2" s="841" t="s">
        <v>810</v>
      </c>
      <c r="D2" s="841" t="s">
        <v>856</v>
      </c>
      <c r="E2" s="841" t="s">
        <v>909</v>
      </c>
      <c r="F2" s="841" t="s">
        <v>896</v>
      </c>
      <c r="G2" s="841" t="s">
        <v>1622</v>
      </c>
      <c r="H2" s="843"/>
      <c r="I2" s="843"/>
      <c r="J2" s="843"/>
      <c r="K2" s="843"/>
      <c r="L2" s="843"/>
      <c r="M2" s="843"/>
      <c r="N2" s="843"/>
      <c r="O2" s="841" t="s">
        <v>810</v>
      </c>
      <c r="P2" s="841" t="s">
        <v>856</v>
      </c>
      <c r="Q2" s="841" t="s">
        <v>896</v>
      </c>
      <c r="R2" s="841" t="s">
        <v>909</v>
      </c>
      <c r="S2" s="841" t="s">
        <v>1622</v>
      </c>
      <c r="T2" s="841" t="s">
        <v>810</v>
      </c>
      <c r="U2" s="841" t="s">
        <v>856</v>
      </c>
      <c r="V2" s="841" t="s">
        <v>896</v>
      </c>
      <c r="W2" s="841" t="s">
        <v>909</v>
      </c>
      <c r="X2" s="841" t="s">
        <v>1622</v>
      </c>
      <c r="Y2" s="841"/>
      <c r="Z2" s="841" t="s">
        <v>810</v>
      </c>
      <c r="AA2" s="850" t="s">
        <v>856</v>
      </c>
      <c r="AB2" s="841" t="s">
        <v>896</v>
      </c>
      <c r="AC2" s="841" t="s">
        <v>909</v>
      </c>
      <c r="AD2" s="841" t="s">
        <v>1622</v>
      </c>
    </row>
    <row r="3" ht="162" customHeight="1">
      <c r="A3" s="845" t="s">
        <v>27</v>
      </c>
      <c r="B3" s="845"/>
      <c r="C3" s="2596" t="s">
        <v>2017</v>
      </c>
      <c r="D3" s="2597"/>
      <c r="E3" s="2597"/>
      <c r="F3" s="2598"/>
      <c r="G3" s="843"/>
      <c r="H3" s="843"/>
      <c r="I3" s="843"/>
      <c r="J3" s="843"/>
      <c r="K3" s="843"/>
      <c r="L3" s="843"/>
      <c r="M3" s="843"/>
      <c r="N3" s="844" t="str">
        <f>INDEX(TEMPLATE_ORG_DATA_POINT,1,MATCH(TEMPLATE_SPHERE,TEMPLATE_SPHERE_LIST_FOR_NOTE,0))</f>
        <v xml:space="preserve">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3" s="843"/>
      <c r="P3" s="843"/>
      <c r="Q3" s="843"/>
      <c r="R3" s="843"/>
      <c r="S3" s="843"/>
      <c r="T3" s="843"/>
      <c r="U3" s="843"/>
      <c r="V3" s="843"/>
      <c r="W3" s="843"/>
      <c r="X3" s="843"/>
      <c r="Y3" s="1000"/>
      <c r="Z3" s="846" t="s">
        <v>2018</v>
      </c>
      <c r="AA3" s="843" t="s">
        <v>2019</v>
      </c>
      <c r="AB3" s="846" t="s">
        <v>2020</v>
      </c>
      <c r="AC3" s="846" t="s">
        <v>2021</v>
      </c>
      <c r="AD3" s="846"/>
      <c r="AG3" s="846"/>
      <c r="AH3" s="846"/>
    </row>
    <row r="4" ht="9" customHeight="1">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r="5" ht="9" customHeight="1">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r="6" ht="9" customHeight="1">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r="7" ht="9" customHeight="1">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r="8" ht="9" customHeight="1">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r="9" ht="9" customHeight="1">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r="10" ht="9" customHeight="1">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r="11" ht="45" customHeight="1">
      <c r="A11" s="2593" t="s">
        <v>33</v>
      </c>
      <c r="B11" s="899">
        <v>1</v>
      </c>
      <c r="C11" s="2599" t="s">
        <v>1560</v>
      </c>
      <c r="D11" s="2599" t="s">
        <v>1556</v>
      </c>
      <c r="E11" s="2599" t="s">
        <v>1654</v>
      </c>
      <c r="F11" s="2599" t="s">
        <v>2022</v>
      </c>
      <c r="G11" s="2599"/>
      <c r="H11" s="898" t="s">
        <v>2023</v>
      </c>
      <c r="I11" s="898"/>
      <c r="J11" s="898"/>
      <c r="K11" s="898"/>
      <c r="L11" s="898"/>
      <c r="M11" s="844" t="str">
        <f>IF(TEMPLATE_SPHERE="HEAT",T11,U11)</f>
        <v xml:space="preserve">Количество поданных заявлений</v>
      </c>
      <c r="N11" s="844" t="str">
        <f>IF(TEMPLATE_SPHERE="HEAT",Z11,AA11)</f>
        <v xml:space="preserve">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1" s="843"/>
      <c r="P11" s="843"/>
      <c r="Q11" s="843"/>
      <c r="R11" s="843"/>
      <c r="S11" s="843"/>
      <c r="T11" s="843" t="s">
        <v>2024</v>
      </c>
      <c r="U11" s="843" t="s">
        <v>2025</v>
      </c>
      <c r="V11" s="843"/>
      <c r="W11" s="843"/>
      <c r="X11" s="843"/>
      <c r="Y11" s="1000"/>
      <c r="Z11" s="846" t="s">
        <v>2026</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 xml:space="preserve">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1" s="846"/>
      <c r="AC11" s="846"/>
      <c r="AD11" s="846"/>
    </row>
    <row r="12" ht="45" customHeight="1">
      <c r="A12" s="2593"/>
      <c r="B12" s="899">
        <v>2</v>
      </c>
      <c r="C12" s="2600"/>
      <c r="D12" s="2600"/>
      <c r="E12" s="2600"/>
      <c r="F12" s="2600"/>
      <c r="G12" s="2600"/>
      <c r="H12" s="898" t="s">
        <v>2027</v>
      </c>
      <c r="I12" s="898"/>
      <c r="J12" s="898"/>
      <c r="K12" s="898"/>
      <c r="L12" s="898"/>
      <c r="M12" s="844" t="str">
        <f>IF(TEMPLATE_SPHERE="HEAT",T12,U12)</f>
        <v xml:space="preserve">Количество исполненных заявлений</v>
      </c>
      <c r="N12" s="844" t="str">
        <f>IF(TEMPLATE_SPHERE="HEAT",Z12,AA12)</f>
        <v xml:space="preserve">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2" s="843"/>
      <c r="P12" s="843"/>
      <c r="Q12" s="843"/>
      <c r="R12" s="843"/>
      <c r="S12" s="843"/>
      <c r="T12" s="843" t="s">
        <v>2028</v>
      </c>
      <c r="U12" s="843" t="s">
        <v>2029</v>
      </c>
      <c r="V12" s="843"/>
      <c r="W12" s="843"/>
      <c r="X12" s="843"/>
      <c r="Y12" s="1000"/>
      <c r="Z12" s="846" t="s">
        <v>2030</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 xml:space="preserve">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2" s="846"/>
      <c r="AC12" s="846"/>
      <c r="AD12" s="846"/>
    </row>
    <row r="13" ht="72" customHeight="1">
      <c r="A13" s="2593"/>
      <c r="B13" s="899">
        <v>3</v>
      </c>
      <c r="C13" s="2600"/>
      <c r="D13" s="2600"/>
      <c r="E13" s="2600"/>
      <c r="F13" s="2600"/>
      <c r="G13" s="2600"/>
      <c r="H13" s="2592" t="s">
        <v>2031</v>
      </c>
      <c r="I13" s="898"/>
      <c r="J13" s="898"/>
      <c r="K13" s="898"/>
      <c r="L13" s="898"/>
      <c r="M13" s="844" t="str">
        <f>IF(TEMPLATE_SPHERE="HEAT",T13,U13)</f>
        <v xml:space="preserve">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4" t="str">
        <f>IF(TEMPLATE_SPHERE="HEAT",Z13,AA13)</f>
        <v xml:space="preserve">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O13" s="843"/>
      <c r="P13" s="844"/>
      <c r="Q13" s="844"/>
      <c r="R13" s="844"/>
      <c r="S13" s="843"/>
      <c r="T13" s="843" t="s">
        <v>2032</v>
      </c>
      <c r="U13" s="844" t="s">
        <v>2033</v>
      </c>
      <c r="V13" s="844"/>
      <c r="W13" s="844"/>
      <c r="X13" s="843"/>
      <c r="Y13" s="1000"/>
      <c r="Z13" s="846" t="s">
        <v>2034</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 xml:space="preserve">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AB13" s="846"/>
      <c r="AC13" s="846"/>
      <c r="AD13" s="846"/>
    </row>
    <row r="14" ht="45" customHeight="1">
      <c r="A14" s="2593"/>
      <c r="B14" s="899">
        <v>4</v>
      </c>
      <c r="C14" s="2600"/>
      <c r="D14" s="2600"/>
      <c r="E14" s="2600"/>
      <c r="F14" s="2600"/>
      <c r="G14" s="2600"/>
      <c r="H14" s="2592"/>
      <c r="I14" s="901"/>
      <c r="J14" s="901"/>
      <c r="K14" s="901"/>
      <c r="L14" s="901"/>
      <c r="M14" s="847" t="str">
        <f>IF(TEMPLATE_SPHERE="HEAT",T14,U14)</f>
        <v xml:space="preserve">Причины отказа в заключении договора о подключении (технологическом присоединении) к централизованной системе водоотведения</v>
      </c>
      <c r="N14" s="844" t="str">
        <f>IF(TEMPLATE_SPHERE="HEAT",Z14,AA14)</f>
        <v xml:space="preserve">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2035</v>
      </c>
      <c r="U14" s="844" t="str">
        <f>"Причины отказа в заключении договора о подключении (технологическом присоединении) к централизованной системе "&amp;TEMPLATE_SPHERE_RUS</f>
        <v xml:space="preserve">Причины отказа в заключении договора о подключении (технологическом присоединении) к централизованной системе водоотведения</v>
      </c>
      <c r="V14" s="844"/>
      <c r="W14" s="844"/>
      <c r="X14" s="843"/>
      <c r="Y14" s="1000"/>
      <c r="Z14" s="846" t="s">
        <v>2036</v>
      </c>
      <c r="AA14" s="849" t="s">
        <v>2036</v>
      </c>
      <c r="AB14" s="846"/>
      <c r="AC14" s="846"/>
      <c r="AD14" s="846"/>
    </row>
    <row r="15" ht="108" customHeight="1">
      <c r="A15" s="2593"/>
      <c r="B15" s="899">
        <v>5</v>
      </c>
      <c r="C15" s="2600"/>
      <c r="D15" s="2600"/>
      <c r="E15" s="2600"/>
      <c r="F15" s="2600"/>
      <c r="G15" s="2600"/>
      <c r="H15" s="2594" t="s">
        <v>2037</v>
      </c>
      <c r="I15" s="900"/>
      <c r="J15" s="900"/>
      <c r="K15" s="900"/>
      <c r="L15" s="900"/>
      <c r="M15" s="849" t="str">
        <f>IF(TEMPLATE_SPHERE="HEAT",T15,U15)</f>
        <v xml:space="preserve">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N15" s="848" t="str">
        <f>IF(TEMPLATE_SPHERE="HEAT",Z15,AA15)</f>
        <v xml:space="preserve">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15" s="843"/>
      <c r="P15" s="844"/>
      <c r="Q15" s="844"/>
      <c r="R15" s="844"/>
      <c r="S15" s="843"/>
      <c r="T15" s="843" t="s">
        <v>2038</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 xml:space="preserve">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V15" s="844"/>
      <c r="W15" s="844"/>
      <c r="X15" s="843"/>
      <c r="Y15" s="1000"/>
      <c r="Z15" s="846" t="s">
        <v>2039</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 xml:space="preserve">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AB15" s="846"/>
      <c r="AC15" s="846"/>
      <c r="AD15" s="846"/>
    </row>
    <row r="16" ht="108" customHeight="1">
      <c r="A16" s="899"/>
      <c r="B16" s="899">
        <v>6</v>
      </c>
      <c r="C16" s="2601"/>
      <c r="D16" s="2601"/>
      <c r="E16" s="2601"/>
      <c r="F16" s="2601"/>
      <c r="G16" s="2601"/>
      <c r="H16" s="2595"/>
      <c r="I16" s="962"/>
      <c r="J16" s="962"/>
      <c r="K16" s="962"/>
      <c r="L16" s="962"/>
      <c r="M16" s="892"/>
      <c r="N16" s="848" t="str">
        <f>IF(TEMPLATE_SPHERE="HEAT",Z16,AA16)</f>
        <v xml:space="preserve">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O16" s="843"/>
      <c r="P16" s="844"/>
      <c r="Q16" s="844"/>
      <c r="R16" s="844"/>
      <c r="S16" s="843"/>
      <c r="T16" s="843"/>
      <c r="U16" s="844"/>
      <c r="V16" s="844"/>
      <c r="W16" s="844"/>
      <c r="X16" s="843"/>
      <c r="Y16" s="1000"/>
      <c r="Z16" s="846" t="s">
        <v>2039</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 xml:space="preserve">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AB16" s="846"/>
      <c r="AC16" s="846"/>
      <c r="AD16" s="846"/>
    </row>
    <row r="17" ht="9" customHeight="1">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r="18" ht="27" customHeight="1">
      <c r="A18" s="845" t="s">
        <v>1657</v>
      </c>
      <c r="B18" s="899">
        <v>1</v>
      </c>
      <c r="C18" s="843" t="s">
        <v>2023</v>
      </c>
      <c r="D18" s="967" t="s">
        <v>2023</v>
      </c>
      <c r="E18" s="843" t="s">
        <v>2023</v>
      </c>
      <c r="F18" s="843" t="s">
        <v>2023</v>
      </c>
      <c r="G18" s="843"/>
      <c r="H18" s="1002"/>
      <c r="I18" s="1005">
        <f>INDEX(TEMPLATE_NUMBER_POINT_FHD,B18,MATCH(TEMPLATE_SPHERE,TEMPLATE_SPHERE_LIST_FOR_NOTE,0))</f>
        <v>1</v>
      </c>
      <c r="J18" s="1005" t="str">
        <f>INDEX(TEMPLATE_DATA_POINT_FHD,B18,MATCH(TEMPLATE_SPHERE,TEMPLATE_SPHERE_LIST_FOR_NOTE,0))</f>
        <v xml:space="preserve">Выручка от регулируемых видов деятельности в сфере водоотведения</v>
      </c>
      <c r="K18" s="1005" t="str">
        <f>INDEX(TEMPLATE_NOTE_POINT_FHD,B18,MATCH(TEMPLATE_SPHERE,TEMPLATE_SPHERE_LIST_FOR_NOTE,0))</f>
        <v xml:space="preserve">Указывается выручка с распределением по видам деятельности.</v>
      </c>
      <c r="L18" s="844">
        <f>IF(I18=0,"",I18)</f>
        <v>1</v>
      </c>
      <c r="M18" s="844" t="str">
        <f>IF(J18=0,"",J18)</f>
        <v xml:space="preserve">Выручка от регулируемых видов деятельности в сфере водоотведения</v>
      </c>
      <c r="N18" s="844" t="str">
        <f>IF(K18=0,"",K18)</f>
        <v xml:space="preserve">Указывается выручка с распределением по видам деятельности.</v>
      </c>
      <c r="O18" s="957">
        <v>1</v>
      </c>
      <c r="P18" s="957">
        <v>1</v>
      </c>
      <c r="Q18" s="957">
        <v>1</v>
      </c>
      <c r="R18" s="957">
        <v>1</v>
      </c>
      <c r="S18" s="957"/>
      <c r="T18" s="964" t="s">
        <v>2040</v>
      </c>
      <c r="U18" s="846" t="s">
        <v>2041</v>
      </c>
      <c r="V18" s="846" t="s">
        <v>2042</v>
      </c>
      <c r="W18" s="846" t="s">
        <v>2043</v>
      </c>
      <c r="X18" s="843"/>
      <c r="Y18" s="1000"/>
      <c r="Z18" s="846" t="s">
        <v>2044</v>
      </c>
      <c r="AA18" s="849" t="s">
        <v>2045</v>
      </c>
      <c r="AB18" s="849" t="s">
        <v>2045</v>
      </c>
      <c r="AC18" s="849" t="s">
        <v>2045</v>
      </c>
      <c r="AD18" s="846"/>
    </row>
    <row r="19" ht="36" customHeight="1">
      <c r="A19" s="845"/>
      <c r="B19" s="899">
        <v>2</v>
      </c>
      <c r="C19" s="843" t="s">
        <v>2027</v>
      </c>
      <c r="D19" s="967" t="s">
        <v>2027</v>
      </c>
      <c r="E19" s="843" t="s">
        <v>2027</v>
      </c>
      <c r="F19" s="843" t="s">
        <v>2027</v>
      </c>
      <c r="G19" s="843"/>
      <c r="H19" s="1002"/>
      <c r="I19" s="1005">
        <f>INDEX(TEMPLATE_NUMBER_POINT_FHD,B19,MATCH(TEMPLATE_SPHERE,TEMPLATE_SPHERE_LIST_FOR_NOTE,0))</f>
        <v>2</v>
      </c>
      <c r="J19" s="1005" t="str">
        <f>INDEX(TEMPLATE_DATA_POINT_FHD,B19,MATCH(TEMPLATE_SPHERE,TEMPLATE_SPHERE_LIST_FOR_NOTE,0))</f>
        <v xml:space="preserve">Себестоимость производимых товаров (оказываемых услуг) по регулируемым видам деятельности в сфере водоотведения, включая:</v>
      </c>
      <c r="K19" s="1005" t="str">
        <f>INDEX(TEMPLATE_NOTE_POINT_FHD,B19,MATCH(TEMPLATE_SPHERE,TEMPLATE_SPHERE_LIST_FOR_NOTE,0))</f>
        <v xml:space="preserve">Указывается суммарная себестоимость производимых товаров.</v>
      </c>
      <c r="L19" s="844">
        <f>IF(I19=0,"",I19)</f>
        <v>2</v>
      </c>
      <c r="M19" s="844" t="str">
        <f>IF(J19=0,"",J19)</f>
        <v xml:space="preserve">Себестоимость производимых товаров (оказываемых услуг) по регулируемым видам деятельности в сфере водоотведения, включая:</v>
      </c>
      <c r="N19" s="844" t="str">
        <f>IF(K19=0,"",K19)</f>
        <v xml:space="preserve">Указывается суммарная себестоимость производимых товаров.</v>
      </c>
      <c r="O19" s="957">
        <v>2</v>
      </c>
      <c r="P19" s="957">
        <v>2</v>
      </c>
      <c r="Q19" s="957">
        <v>2</v>
      </c>
      <c r="R19" s="957">
        <v>2</v>
      </c>
      <c r="S19" s="957"/>
      <c r="T19" s="964" t="s">
        <v>2046</v>
      </c>
      <c r="U19" s="846" t="s">
        <v>2047</v>
      </c>
      <c r="V19" s="846" t="s">
        <v>2048</v>
      </c>
      <c r="W19" s="846" t="s">
        <v>2049</v>
      </c>
      <c r="X19" s="843"/>
      <c r="Y19" s="1000"/>
      <c r="Z19" s="846" t="s">
        <v>2050</v>
      </c>
      <c r="AA19" s="849" t="s">
        <v>2050</v>
      </c>
      <c r="AB19" s="849" t="s">
        <v>2050</v>
      </c>
      <c r="AC19" s="849" t="s">
        <v>2050</v>
      </c>
      <c r="AD19" s="846"/>
    </row>
    <row r="20" ht="27" customHeight="1">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 xml:space="preserve">Расходы на оплату услуг по приему, транспортировке и очистке сточных вод другими организациями</v>
      </c>
      <c r="K20" s="1005">
        <f>INDEX(TEMPLATE_NOTE_POINT_FHD,B20,MATCH(TEMPLATE_SPHERE,TEMPLATE_SPHERE_LIST_FOR_NOTE,0))</f>
        <v>0</v>
      </c>
      <c r="L20" s="844" t="str">
        <f>IF(I20=0,"",I20)</f>
        <v>2.1</v>
      </c>
      <c r="M20" s="844" t="str">
        <f>IF(J20=0,"",J20)</f>
        <v xml:space="preserve">Расходы на оплату услуг по приему, транспортировке и очистке сточных вод другими организациями</v>
      </c>
      <c r="N20" s="844" t="str">
        <f>IF(K20=0,"",K20)</f>
        <v/>
      </c>
      <c r="O20" s="957" t="s">
        <v>711</v>
      </c>
      <c r="P20" s="957" t="s">
        <v>711</v>
      </c>
      <c r="Q20" s="957" t="s">
        <v>711</v>
      </c>
      <c r="R20" s="957" t="s">
        <v>711</v>
      </c>
      <c r="S20" s="957"/>
      <c r="T20" s="964" t="s">
        <v>2051</v>
      </c>
      <c r="U20" s="846" t="s">
        <v>2052</v>
      </c>
      <c r="V20" s="846" t="s">
        <v>2053</v>
      </c>
      <c r="W20" s="846" t="s">
        <v>2054</v>
      </c>
      <c r="X20" s="843"/>
      <c r="Y20" s="1000"/>
      <c r="Z20" s="846"/>
      <c r="AA20" s="849"/>
      <c r="AB20" s="846"/>
      <c r="AC20" s="846"/>
      <c r="AD20" s="846"/>
    </row>
    <row r="21" ht="36" customHeight="1">
      <c r="A21" s="845"/>
      <c r="B21" s="899">
        <v>4</v>
      </c>
      <c r="C21" s="843">
        <v>2</v>
      </c>
      <c r="D21" s="967"/>
      <c r="E21" s="843"/>
      <c r="F21" s="843"/>
      <c r="G21" s="843"/>
      <c r="H21" s="1002"/>
      <c r="I21" s="1005">
        <f>INDEX(TEMPLATE_NUMBER_POINT_FHD,B21,MATCH(TEMPLATE_SPHERE,TEMPLATE_SPHERE_LIST_FOR_NOTE,0))</f>
        <v>0</v>
      </c>
      <c r="J21" s="1005">
        <f>INDEX(TEMPLATE_DATA_POINT_FHD,B21,MATCH(TEMPLATE_SPHERE,TEMPLATE_SPHERE_LIST_FOR_NOTE,0))</f>
        <v>0</v>
      </c>
      <c r="K21" s="1005">
        <f>INDEX(TEMPLATE_NOTE_POINT_FHD,B21,MATCH(TEMPLATE_SPHERE,TEMPLATE_SPHERE_LIST_FOR_NOTE,0))</f>
        <v>0</v>
      </c>
      <c r="L21" s="844" t="str">
        <f>IF(I21=0,"",I21)</f>
        <v/>
      </c>
      <c r="M21" s="844" t="str">
        <f>IF(J21=0,"",J21)</f>
        <v/>
      </c>
      <c r="N21" s="844" t="str">
        <f>IF(K21=0,"",K21)</f>
        <v/>
      </c>
      <c r="O21" s="957" t="s">
        <v>309</v>
      </c>
      <c r="P21" s="957"/>
      <c r="Q21" s="957"/>
      <c r="R21" s="957"/>
      <c r="S21" s="957"/>
      <c r="T21" s="964" t="s">
        <v>2055</v>
      </c>
      <c r="U21" s="846"/>
      <c r="V21" s="846"/>
      <c r="W21" s="846"/>
      <c r="X21" s="843"/>
      <c r="Y21" s="1000"/>
      <c r="Z21" s="846" t="s">
        <v>2056</v>
      </c>
      <c r="AA21" s="849"/>
      <c r="AB21" s="846"/>
      <c r="AC21" s="846"/>
      <c r="AD21" s="846"/>
    </row>
    <row r="22" ht="36" customHeight="1">
      <c r="A22" s="845"/>
      <c r="B22" s="899">
        <v>5</v>
      </c>
      <c r="C22" s="843">
        <v>3</v>
      </c>
      <c r="D22" s="967"/>
      <c r="E22" s="843"/>
      <c r="F22" s="843"/>
      <c r="G22" s="891"/>
      <c r="H22" s="958"/>
      <c r="I22" s="1005">
        <f>INDEX(TEMPLATE_NUMBER_POINT_FHD,B22,MATCH(TEMPLATE_SPHERE,TEMPLATE_SPHERE_LIST_FOR_NOTE,0))</f>
        <v>0</v>
      </c>
      <c r="J22" s="1005">
        <f>INDEX(TEMPLATE_DATA_POINT_FHD,B22,MATCH(TEMPLATE_SPHERE,TEMPLATE_SPHERE_LIST_FOR_NOTE,0))</f>
        <v>0</v>
      </c>
      <c r="K22" s="1005">
        <f>INDEX(TEMPLATE_NOTE_POINT_FHD,B22,MATCH(TEMPLATE_SPHERE,TEMPLATE_SPHERE_LIST_FOR_NOTE,0))</f>
        <v>0</v>
      </c>
      <c r="L22" s="844" t="str">
        <f>IF(I22=0,"",I22)</f>
        <v/>
      </c>
      <c r="M22" s="844" t="str">
        <f>IF(J22=0,"",J22)</f>
        <v/>
      </c>
      <c r="N22" s="844" t="str">
        <f>IF(K22=0,"",K22)</f>
        <v/>
      </c>
      <c r="O22" s="957"/>
      <c r="P22" s="957"/>
      <c r="Q22" s="957" t="s">
        <v>309</v>
      </c>
      <c r="R22" s="957"/>
      <c r="S22" s="957"/>
      <c r="T22" s="964"/>
      <c r="U22" s="846"/>
      <c r="V22" s="846" t="s">
        <v>2057</v>
      </c>
      <c r="W22" s="846"/>
      <c r="X22" s="843"/>
      <c r="Y22" s="1000"/>
      <c r="Z22" s="846"/>
      <c r="AA22" s="849"/>
      <c r="AB22" s="846"/>
      <c r="AC22" s="846"/>
      <c r="AD22" s="846"/>
    </row>
    <row r="23" ht="27" customHeight="1">
      <c r="A23" s="845"/>
      <c r="B23" s="899">
        <v>6</v>
      </c>
      <c r="C23" s="843">
        <v>4</v>
      </c>
      <c r="D23" s="967"/>
      <c r="E23" s="843"/>
      <c r="F23" s="843"/>
      <c r="G23" s="891"/>
      <c r="H23" s="958"/>
      <c r="I23" s="1005">
        <f>INDEX(TEMPLATE_NUMBER_POINT_FHD,B23,MATCH(TEMPLATE_SPHERE,TEMPLATE_SPHERE_LIST_FOR_NOTE,0))</f>
        <v>0</v>
      </c>
      <c r="J23" s="1005">
        <f>INDEX(TEMPLATE_DATA_POINT_FHD,B23,MATCH(TEMPLATE_SPHERE,TEMPLATE_SPHERE_LIST_FOR_NOTE,0))</f>
        <v>0</v>
      </c>
      <c r="K23" s="1005">
        <f>INDEX(TEMPLATE_NOTE_POINT_FHD,B23,MATCH(TEMPLATE_SPHERE,TEMPLATE_SPHERE_LIST_FOR_NOTE,0))</f>
        <v>0</v>
      </c>
      <c r="L23" s="844" t="str">
        <f>IF(I23=0,"",I23)</f>
        <v/>
      </c>
      <c r="M23" s="844" t="str">
        <f>IF(J23=0,"",J23)</f>
        <v/>
      </c>
      <c r="N23" s="844" t="str">
        <f>IF(K23=0,"",K23)</f>
        <v/>
      </c>
      <c r="O23" s="957"/>
      <c r="P23" s="957"/>
      <c r="Q23" s="957" t="s">
        <v>312</v>
      </c>
      <c r="R23" s="957"/>
      <c r="S23" s="957"/>
      <c r="T23" s="964"/>
      <c r="U23" s="846"/>
      <c r="V23" s="846" t="s">
        <v>2058</v>
      </c>
      <c r="W23" s="846"/>
      <c r="X23" s="843"/>
      <c r="Y23" s="1000"/>
      <c r="Z23" s="846"/>
      <c r="AA23" s="849"/>
      <c r="AB23" s="846"/>
      <c r="AC23" s="846"/>
      <c r="AD23" s="846"/>
    </row>
    <row r="24" ht="36" customHeight="1">
      <c r="A24" s="845"/>
      <c r="B24" s="899">
        <v>7</v>
      </c>
      <c r="C24" s="843">
        <v>5</v>
      </c>
      <c r="D24" s="967"/>
      <c r="E24" s="843"/>
      <c r="F24" s="843"/>
      <c r="G24" s="891"/>
      <c r="H24" s="958"/>
      <c r="I24" s="1005">
        <f>INDEX(TEMPLATE_NUMBER_POINT_FHD,B24,MATCH(TEMPLATE_SPHERE,TEMPLATE_SPHERE_LIST_FOR_NOTE,0))</f>
        <v>0</v>
      </c>
      <c r="J24" s="1005">
        <f>INDEX(TEMPLATE_DATA_POINT_FHD,B24,MATCH(TEMPLATE_SPHERE,TEMPLATE_SPHERE_LIST_FOR_NOTE,0))</f>
        <v>0</v>
      </c>
      <c r="K24" s="1005">
        <f>INDEX(TEMPLATE_NOTE_POINT_FHD,B24,MATCH(TEMPLATE_SPHERE,TEMPLATE_SPHERE_LIST_FOR_NOTE,0))</f>
        <v>0</v>
      </c>
      <c r="L24" s="844" t="str">
        <f>IF(I24=0,"",I24)</f>
        <v/>
      </c>
      <c r="M24" s="844" t="str">
        <f>IF(J24=0,"",J24)</f>
        <v/>
      </c>
      <c r="N24" s="844" t="str">
        <f>IF(K24=0,"",K24)</f>
        <v/>
      </c>
      <c r="O24" s="957"/>
      <c r="P24" s="957"/>
      <c r="Q24" s="957" t="s">
        <v>731</v>
      </c>
      <c r="R24" s="957"/>
      <c r="S24" s="957"/>
      <c r="T24" s="964"/>
      <c r="U24" s="846"/>
      <c r="V24" s="846" t="s">
        <v>2059</v>
      </c>
      <c r="W24" s="846"/>
      <c r="X24" s="843"/>
      <c r="Y24" s="1000"/>
      <c r="Z24" s="846"/>
      <c r="AA24" s="849"/>
      <c r="AB24" s="846"/>
      <c r="AC24" s="846"/>
      <c r="AD24" s="846"/>
    </row>
    <row r="25" ht="36" customHeight="1">
      <c r="A25" s="845"/>
      <c r="B25" s="899">
        <v>8</v>
      </c>
      <c r="C25" s="843">
        <v>6</v>
      </c>
      <c r="D25" s="967"/>
      <c r="E25" s="843"/>
      <c r="F25" s="843"/>
      <c r="G25" s="891"/>
      <c r="H25" s="958"/>
      <c r="I25" s="1005" t="str">
        <f>INDEX(TEMPLATE_NUMBER_POINT_FHD,B25,MATCH(TEMPLATE_SPHERE,TEMPLATE_SPHERE_LIST_FOR_NOTE,0))</f>
        <v>2.2</v>
      </c>
      <c r="J25" s="1005" t="str">
        <f>INDEX(TEMPLATE_DATA_POINT_FHD,B25,MATCH(TEMPLATE_SPHERE,TEMPLATE_SPHERE_LIST_FOR_NOTE,0))</f>
        <v xml:space="preserve">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2.2</v>
      </c>
      <c r="M25" s="844" t="str">
        <f>IF(J25=0,"",J25)</f>
        <v xml:space="preserve">Расходы на приобретаемую электрическую энергию (мощность), используемую в технологическом процессе</v>
      </c>
      <c r="N25" s="844" t="str">
        <f>IF(K25=0,"",K25)</f>
        <v/>
      </c>
      <c r="O25" s="957" t="s">
        <v>312</v>
      </c>
      <c r="P25" s="957" t="s">
        <v>309</v>
      </c>
      <c r="Q25" s="957" t="s">
        <v>738</v>
      </c>
      <c r="R25" s="957" t="s">
        <v>309</v>
      </c>
      <c r="S25" s="957"/>
      <c r="T25" s="964" t="s">
        <v>2060</v>
      </c>
      <c r="U25" s="846" t="s">
        <v>2060</v>
      </c>
      <c r="V25" s="846" t="s">
        <v>2060</v>
      </c>
      <c r="W25" s="846" t="s">
        <v>2060</v>
      </c>
      <c r="X25" s="843"/>
      <c r="Y25" s="1000"/>
      <c r="Z25" s="846"/>
      <c r="AA25" s="849"/>
      <c r="AB25" s="846"/>
      <c r="AC25" s="846"/>
      <c r="AD25" s="846"/>
    </row>
    <row r="26" ht="18" customHeight="1">
      <c r="A26" s="845"/>
      <c r="B26" s="899">
        <v>9</v>
      </c>
      <c r="C26" s="843" t="s">
        <v>655</v>
      </c>
      <c r="D26" s="967"/>
      <c r="E26" s="843"/>
      <c r="F26" s="843"/>
      <c r="G26" s="891"/>
      <c r="H26" s="958"/>
      <c r="I26" s="1005" t="str">
        <f>INDEX(TEMPLATE_NUMBER_POINT_FHD,B26,MATCH(TEMPLATE_SPHERE,TEMPLATE_SPHERE_LIST_FOR_NOTE,0))</f>
        <v>2.2.1</v>
      </c>
      <c r="J26" s="1005" t="str">
        <f>INDEX(TEMPLATE_DATA_POINT_FHD,B26,MATCH(TEMPLATE_SPHERE,TEMPLATE_SPHERE_LIST_FOR_NOTE,0))</f>
        <v xml:space="preserve">Средневзвешенная стоимость 1 кВт.ч (с учетом мощности)</v>
      </c>
      <c r="K26" s="1005">
        <f>INDEX(TEMPLATE_NOTE_POINT_FHD,B26,MATCH(TEMPLATE_SPHERE,TEMPLATE_SPHERE_LIST_FOR_NOTE,0))</f>
        <v>0</v>
      </c>
      <c r="L26" s="844" t="str">
        <f>IF(I26=0,"",I26)</f>
        <v>2.2.1</v>
      </c>
      <c r="M26" s="844" t="str">
        <f>IF(J26=0,"",J26)</f>
        <v xml:space="preserve">Средневзвешенная стоимость 1 кВт.ч (с учетом мощности)</v>
      </c>
      <c r="N26" s="844" t="str">
        <f>IF(K26=0,"",K26)</f>
        <v/>
      </c>
      <c r="O26" s="957" t="s">
        <v>727</v>
      </c>
      <c r="P26" s="957" t="s">
        <v>721</v>
      </c>
      <c r="Q26" s="957" t="s">
        <v>2061</v>
      </c>
      <c r="R26" s="957" t="s">
        <v>721</v>
      </c>
      <c r="S26" s="957"/>
      <c r="T26" s="964" t="str">
        <f>"Средневзвешенная стоимость 1 кВт.ч"&amp;IF(TITLE_TYPE_ORG="Регулируемая организация"," (с учетом мощности)","")</f>
        <v xml:space="preserve">Средневзвешенная стоимость 1 кВт.ч</v>
      </c>
      <c r="U26" s="964" t="s">
        <v>2062</v>
      </c>
      <c r="V26" s="964" t="s">
        <v>2062</v>
      </c>
      <c r="W26" s="964" t="s">
        <v>2062</v>
      </c>
      <c r="X26" s="843"/>
      <c r="Y26" s="1000"/>
      <c r="Z26" s="846"/>
      <c r="AA26" s="849"/>
      <c r="AB26" s="846"/>
      <c r="AC26" s="846"/>
      <c r="AD26" s="846"/>
    </row>
    <row r="27" ht="18" customHeight="1">
      <c r="A27" s="845"/>
      <c r="B27" s="899">
        <v>10</v>
      </c>
      <c r="C27" s="843" t="s">
        <v>659</v>
      </c>
      <c r="D27" s="967"/>
      <c r="E27" s="843"/>
      <c r="F27" s="843"/>
      <c r="G27" s="891"/>
      <c r="H27" s="958"/>
      <c r="I27" s="1005" t="str">
        <f>INDEX(TEMPLATE_NUMBER_POINT_FHD,B27,MATCH(TEMPLATE_SPHERE,TEMPLATE_SPHERE_LIST_FOR_NOTE,0))</f>
        <v>2.2.2</v>
      </c>
      <c r="J27" s="1005" t="str">
        <f>INDEX(TEMPLATE_DATA_POINT_FHD,B27,MATCH(TEMPLATE_SPHERE,TEMPLATE_SPHERE_LIST_FOR_NOTE,0))</f>
        <v xml:space="preserve">Объём приобретения электрической энергии</v>
      </c>
      <c r="K27" s="1005">
        <f>INDEX(TEMPLATE_NOTE_POINT_FHD,B27,MATCH(TEMPLATE_SPHERE,TEMPLATE_SPHERE_LIST_FOR_NOTE,0))</f>
        <v>0</v>
      </c>
      <c r="L27" s="844" t="str">
        <f>IF(I27=0,"",I27)</f>
        <v>2.2.2</v>
      </c>
      <c r="M27" s="844" t="str">
        <f>IF(J27=0,"",J27)</f>
        <v xml:space="preserve">Объём приобретения электрической энергии</v>
      </c>
      <c r="N27" s="844" t="str">
        <f>IF(K27=0,"",K27)</f>
        <v/>
      </c>
      <c r="O27" s="957" t="s">
        <v>729</v>
      </c>
      <c r="P27" s="957" t="s">
        <v>723</v>
      </c>
      <c r="Q27" s="957" t="s">
        <v>2063</v>
      </c>
      <c r="R27" s="957" t="s">
        <v>723</v>
      </c>
      <c r="S27" s="957"/>
      <c r="T27" s="964" t="s">
        <v>2064</v>
      </c>
      <c r="U27" s="964" t="s">
        <v>2064</v>
      </c>
      <c r="V27" s="964" t="s">
        <v>2064</v>
      </c>
      <c r="W27" s="964" t="s">
        <v>2064</v>
      </c>
      <c r="X27" s="843"/>
      <c r="Y27" s="1000"/>
      <c r="Z27" s="846"/>
      <c r="AA27" s="849"/>
      <c r="AB27" s="846"/>
      <c r="AC27" s="846"/>
      <c r="AD27" s="846"/>
    </row>
    <row r="28" ht="27" customHeight="1">
      <c r="A28" s="845"/>
      <c r="B28" s="899">
        <v>11</v>
      </c>
      <c r="C28" s="843">
        <v>7</v>
      </c>
      <c r="D28" s="967"/>
      <c r="E28" s="843"/>
      <c r="F28" s="843"/>
      <c r="G28" s="891"/>
      <c r="H28" s="958"/>
      <c r="I28" s="1005">
        <f>INDEX(TEMPLATE_NUMBER_POINT_FHD,B28,MATCH(TEMPLATE_SPHERE,TEMPLATE_SPHERE_LIST_FOR_NOTE,0))</f>
        <v>0</v>
      </c>
      <c r="J28" s="1005">
        <f>INDEX(TEMPLATE_DATA_POINT_FHD,B28,MATCH(TEMPLATE_SPHERE,TEMPLATE_SPHERE_LIST_FOR_NOTE,0))</f>
        <v>0</v>
      </c>
      <c r="K28" s="1005">
        <f>INDEX(TEMPLATE_NOTE_POINT_FHD,B28,MATCH(TEMPLATE_SPHERE,TEMPLATE_SPHERE_LIST_FOR_NOTE,0))</f>
        <v>0</v>
      </c>
      <c r="L28" s="844" t="str">
        <f>IF(I28=0,"",I28)</f>
        <v/>
      </c>
      <c r="M28" s="844" t="str">
        <f>IF(J28=0,"",J28)</f>
        <v/>
      </c>
      <c r="N28" s="844" t="str">
        <f>IF(K28=0,"",K28)</f>
        <v/>
      </c>
      <c r="O28" s="957" t="s">
        <v>731</v>
      </c>
      <c r="P28" s="957"/>
      <c r="Q28" s="957"/>
      <c r="R28" s="957"/>
      <c r="S28" s="957"/>
      <c r="T28" s="964" t="s">
        <v>2065</v>
      </c>
      <c r="U28" s="846"/>
      <c r="V28" s="846"/>
      <c r="W28" s="846"/>
      <c r="X28" s="843"/>
      <c r="Y28" s="1000"/>
      <c r="Z28" s="846"/>
      <c r="AA28" s="849"/>
      <c r="AB28" s="846"/>
      <c r="AC28" s="846"/>
      <c r="AD28" s="846"/>
    </row>
    <row r="29" ht="27" customHeight="1">
      <c r="A29" s="845"/>
      <c r="B29" s="899">
        <v>12</v>
      </c>
      <c r="C29" s="843">
        <v>8</v>
      </c>
      <c r="D29" s="967"/>
      <c r="E29" s="843"/>
      <c r="F29" s="843"/>
      <c r="G29" s="891"/>
      <c r="H29" s="958"/>
      <c r="I29" s="1005" t="str">
        <f>INDEX(TEMPLATE_NUMBER_POINT_FHD,B29,MATCH(TEMPLATE_SPHERE,TEMPLATE_SPHERE_LIST_FOR_NOTE,0))</f>
        <v>2.3</v>
      </c>
      <c r="J29" s="1005" t="str">
        <f>INDEX(TEMPLATE_DATA_POINT_FHD,B29,MATCH(TEMPLATE_SPHERE,TEMPLATE_SPHERE_LIST_FOR_NOTE,0))</f>
        <v xml:space="preserve">Расходы на химические реагенты, используемые в технологическом процессе</v>
      </c>
      <c r="K29" s="1005">
        <f>INDEX(TEMPLATE_NOTE_POINT_FHD,B29,MATCH(TEMPLATE_SPHERE,TEMPLATE_SPHERE_LIST_FOR_NOTE,0))</f>
        <v>0</v>
      </c>
      <c r="L29" s="844" t="str">
        <f>IF(I29=0,"",I29)</f>
        <v>2.3</v>
      </c>
      <c r="M29" s="844" t="str">
        <f>IF(J29=0,"",J29)</f>
        <v xml:space="preserve">Расходы на химические реагенты, используемые в технологическом процессе</v>
      </c>
      <c r="N29" s="844" t="str">
        <f>IF(K29=0,"",K29)</f>
        <v/>
      </c>
      <c r="O29" s="957" t="s">
        <v>738</v>
      </c>
      <c r="P29" s="957" t="s">
        <v>312</v>
      </c>
      <c r="Q29" s="957"/>
      <c r="R29" s="957" t="s">
        <v>312</v>
      </c>
      <c r="S29" s="957"/>
      <c r="T29" s="964" t="str">
        <f>"Расходы на  хим"&amp;IF(TITLE_TYPE_ORG="Регулируемая организация","ические",".")&amp;" реагенты, используемые в технологическом процессе"</f>
        <v xml:space="preserve">Расходы на  хим. реагенты, используемые в технологическом процессе</v>
      </c>
      <c r="U29" s="846" t="s">
        <v>2066</v>
      </c>
      <c r="V29" s="846"/>
      <c r="W29" s="846" t="s">
        <v>2066</v>
      </c>
      <c r="X29" s="843"/>
      <c r="Y29" s="1000"/>
      <c r="Z29" s="846"/>
      <c r="AA29" s="849"/>
      <c r="AB29" s="846"/>
      <c r="AC29" s="846"/>
      <c r="AD29" s="846"/>
    </row>
    <row r="30" ht="54" customHeight="1">
      <c r="A30" s="845"/>
      <c r="B30" s="899">
        <v>13</v>
      </c>
      <c r="C30" s="843">
        <v>9</v>
      </c>
      <c r="D30" s="967"/>
      <c r="E30" s="843"/>
      <c r="F30" s="843"/>
      <c r="G30" s="891"/>
      <c r="H30" s="958"/>
      <c r="I30" s="1005" t="str">
        <f>INDEX(TEMPLATE_NUMBER_POINT_FHD,B30,MATCH(TEMPLATE_SPHERE,TEMPLATE_SPHERE_LIST_FOR_NOTE,0))</f>
        <v>2.4</v>
      </c>
      <c r="J30" s="1005" t="str">
        <f>INDEX(TEMPLATE_DATA_POINT_FHD,B30,MATCH(TEMPLATE_SPHERE,TEMPLATE_SPHERE_LIST_FOR_NOTE,0))</f>
        <v xml:space="preserve">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t="str">
        <f>INDEX(TEMPLATE_NOTE_POINT_FHD,B30,MATCH(TEMPLATE_SPHERE,TEMPLATE_SPHERE_LIST_FOR_NOTE,0))</f>
        <v xml:space="preserve">Указывается общая сумма расходов на оплату труда и отчислений на социальные нужды основного производственного персонала.</v>
      </c>
      <c r="L30" s="844" t="str">
        <f>IF(I30=0,"",I30)</f>
        <v>2.4</v>
      </c>
      <c r="M30" s="844" t="str">
        <f>IF(J30=0,"",J30)</f>
        <v xml:space="preserve">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 xml:space="preserve">Указывается общая сумма расходов на оплату труда и отчислений на социальные нужды основного производственного персонала.</v>
      </c>
      <c r="O30" s="957" t="s">
        <v>740</v>
      </c>
      <c r="P30" s="957" t="s">
        <v>731</v>
      </c>
      <c r="Q30" s="957" t="s">
        <v>740</v>
      </c>
      <c r="R30" s="957" t="s">
        <v>731</v>
      </c>
      <c r="S30" s="957"/>
      <c r="T30" s="964" t="s">
        <v>2067</v>
      </c>
      <c r="U30" s="846" t="s">
        <v>2067</v>
      </c>
      <c r="V30" s="846" t="s">
        <v>2067</v>
      </c>
      <c r="W30" s="846" t="s">
        <v>2067</v>
      </c>
      <c r="X30" s="843"/>
      <c r="Y30" s="1000"/>
      <c r="Z30" s="846"/>
      <c r="AA30" s="849" t="s">
        <v>2068</v>
      </c>
      <c r="AB30" s="849" t="s">
        <v>2068</v>
      </c>
      <c r="AC30" s="849" t="s">
        <v>2068</v>
      </c>
      <c r="AD30" s="846"/>
    </row>
    <row r="31" ht="18" customHeight="1">
      <c r="A31" s="845"/>
      <c r="B31" s="899">
        <v>14</v>
      </c>
      <c r="C31" s="843" t="s">
        <v>2069</v>
      </c>
      <c r="D31" s="967"/>
      <c r="E31" s="843"/>
      <c r="F31" s="843"/>
      <c r="G31" s="891"/>
      <c r="H31" s="958"/>
      <c r="I31" s="1005" t="str">
        <f>INDEX(TEMPLATE_NUMBER_POINT_FHD,B31,MATCH(TEMPLATE_SPHERE,TEMPLATE_SPHERE_LIST_FOR_NOTE,0))</f>
        <v>2.4.1</v>
      </c>
      <c r="J31" s="1005" t="str">
        <f>INDEX(TEMPLATE_DATA_POINT_FHD,B31,MATCH(TEMPLATE_SPHERE,TEMPLATE_SPHERE_LIST_FOR_NOTE,0))</f>
        <v xml:space="preserve">Расходы на оплату труда основного производственного персонала</v>
      </c>
      <c r="K31" s="1005">
        <f>INDEX(TEMPLATE_NOTE_POINT_FHD,B31,MATCH(TEMPLATE_SPHERE,TEMPLATE_SPHERE_LIST_FOR_NOTE,0))</f>
        <v>0</v>
      </c>
      <c r="L31" s="844" t="str">
        <f>IF(I31=0,"",I31)</f>
        <v>2.4.1</v>
      </c>
      <c r="M31" s="844" t="str">
        <f>IF(J31=0,"",J31)</f>
        <v xml:space="preserve">Расходы на оплату труда основного производственного персонала</v>
      </c>
      <c r="N31" s="844" t="str">
        <f>IF(K31=0,"",K31)</f>
        <v/>
      </c>
      <c r="O31" s="957" t="s">
        <v>2070</v>
      </c>
      <c r="P31" s="957" t="s">
        <v>734</v>
      </c>
      <c r="Q31" s="957" t="s">
        <v>2070</v>
      </c>
      <c r="R31" s="957" t="s">
        <v>734</v>
      </c>
      <c r="S31" s="957"/>
      <c r="T31" s="965" t="s">
        <v>2071</v>
      </c>
      <c r="U31" s="846" t="s">
        <v>2071</v>
      </c>
      <c r="V31" s="846" t="s">
        <v>2071</v>
      </c>
      <c r="W31" s="846" t="s">
        <v>2071</v>
      </c>
      <c r="X31" s="843"/>
      <c r="Y31" s="1000"/>
      <c r="Z31" s="846"/>
      <c r="AA31" s="849"/>
      <c r="AB31" s="849"/>
      <c r="AC31" s="849"/>
      <c r="AD31" s="846"/>
    </row>
    <row r="32" ht="36" customHeight="1">
      <c r="A32" s="845"/>
      <c r="B32" s="899">
        <v>15</v>
      </c>
      <c r="C32" s="843" t="s">
        <v>2072</v>
      </c>
      <c r="D32" s="967"/>
      <c r="E32" s="843"/>
      <c r="F32" s="843"/>
      <c r="G32" s="891"/>
      <c r="H32" s="958"/>
      <c r="I32" s="1005" t="str">
        <f>INDEX(TEMPLATE_NUMBER_POINT_FHD,B32,MATCH(TEMPLATE_SPHERE,TEMPLATE_SPHERE_LIST_FOR_NOTE,0))</f>
        <v>2.4.2</v>
      </c>
      <c r="J32" s="1005" t="str">
        <f>INDEX(TEMPLATE_DATA_POINT_FHD,B32,MATCH(TEMPLATE_SPHERE,TEMPLATE_SPHERE_LIST_FOR_NOTE,0))</f>
        <v xml:space="preserve">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2.4.2</v>
      </c>
      <c r="M32" s="844" t="str">
        <f>IF(J32=0,"",J32)</f>
        <v xml:space="preserve">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2073</v>
      </c>
      <c r="P32" s="957" t="s">
        <v>736</v>
      </c>
      <c r="Q32" s="957" t="s">
        <v>2073</v>
      </c>
      <c r="R32" s="957" t="s">
        <v>736</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 xml:space="preserve">Расходы на страховые взносы на обязательное социальное страхование, выплачиваемые из фонда оплаты труда основного производственного персонала</v>
      </c>
      <c r="U32" s="846" t="s">
        <v>2074</v>
      </c>
      <c r="V32" s="846" t="s">
        <v>2074</v>
      </c>
      <c r="W32" s="846" t="s">
        <v>2074</v>
      </c>
      <c r="X32" s="843"/>
      <c r="Y32" s="1000"/>
      <c r="Z32" s="846"/>
      <c r="AA32" s="849"/>
      <c r="AB32" s="849"/>
      <c r="AC32" s="849"/>
      <c r="AD32" s="846"/>
    </row>
    <row r="33" ht="45" customHeight="1">
      <c r="A33" s="845"/>
      <c r="B33" s="899">
        <v>16</v>
      </c>
      <c r="C33" s="843">
        <v>10</v>
      </c>
      <c r="D33" s="967"/>
      <c r="E33" s="843"/>
      <c r="F33" s="843"/>
      <c r="G33" s="891"/>
      <c r="H33" s="958"/>
      <c r="I33" s="1005" t="str">
        <f>INDEX(TEMPLATE_NUMBER_POINT_FHD,B33,MATCH(TEMPLATE_SPHERE,TEMPLATE_SPHERE_LIST_FOR_NOTE,0))</f>
        <v>2.5</v>
      </c>
      <c r="J33" s="1005" t="str">
        <f>INDEX(TEMPLATE_DATA_POINT_FHD,B33,MATCH(TEMPLATE_SPHERE,TEMPLATE_SPHERE_LIST_FOR_NOTE,0))</f>
        <v xml:space="preserve">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1005" t="str">
        <f>INDEX(TEMPLATE_NOTE_POINT_FHD,B33,MATCH(TEMPLATE_SPHERE,TEMPLATE_SPHERE_LIST_FOR_NOTE,0))</f>
        <v xml:space="preserve">Указывается общая сумма расходов на оплату труда и отчислений на социальные нужды административно-управленческого персонала.</v>
      </c>
      <c r="L33" s="844" t="str">
        <f>IF(I33=0,"",I33)</f>
        <v>2.5</v>
      </c>
      <c r="M33" s="844" t="str">
        <f>IF(J33=0,"",J33)</f>
        <v xml:space="preserve">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844" t="str">
        <f>IF(K33=0,"",K33)</f>
        <v xml:space="preserve">Указывается общая сумма расходов на оплату труда и отчислений на социальные нужды административно-управленческого персонала.</v>
      </c>
      <c r="O33" s="957" t="s">
        <v>742</v>
      </c>
      <c r="P33" s="957" t="s">
        <v>738</v>
      </c>
      <c r="Q33" s="957" t="s">
        <v>742</v>
      </c>
      <c r="R33" s="957" t="s">
        <v>738</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 xml:space="preserve">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6" t="s">
        <v>2075</v>
      </c>
      <c r="V33" s="846" t="s">
        <v>2075</v>
      </c>
      <c r="W33" s="846" t="s">
        <v>2076</v>
      </c>
      <c r="X33" s="843"/>
      <c r="Y33" s="1000"/>
      <c r="Z33" s="846"/>
      <c r="AA33" s="849" t="s">
        <v>2077</v>
      </c>
      <c r="AB33" s="849" t="s">
        <v>2077</v>
      </c>
      <c r="AC33" s="849" t="s">
        <v>2077</v>
      </c>
      <c r="AD33" s="846"/>
    </row>
    <row r="34" ht="27" customHeight="1">
      <c r="A34" s="845"/>
      <c r="B34" s="899">
        <v>17</v>
      </c>
      <c r="C34" s="843" t="s">
        <v>2078</v>
      </c>
      <c r="D34" s="967"/>
      <c r="E34" s="843"/>
      <c r="F34" s="843"/>
      <c r="G34" s="891"/>
      <c r="H34" s="958"/>
      <c r="I34" s="1005" t="str">
        <f>INDEX(TEMPLATE_NUMBER_POINT_FHD,B34,MATCH(TEMPLATE_SPHERE,TEMPLATE_SPHERE_LIST_FOR_NOTE,0))</f>
        <v>2.5.1</v>
      </c>
      <c r="J34" s="1005" t="str">
        <f>INDEX(TEMPLATE_DATA_POINT_FHD,B34,MATCH(TEMPLATE_SPHERE,TEMPLATE_SPHERE_LIST_FOR_NOTE,0))</f>
        <v xml:space="preserve">Расходы на оплату труда административно-управленческого персонала, в том числе:</v>
      </c>
      <c r="K34" s="1005">
        <f>INDEX(TEMPLATE_NOTE_POINT_FHD,B34,MATCH(TEMPLATE_SPHERE,TEMPLATE_SPHERE_LIST_FOR_NOTE,0))</f>
        <v>0</v>
      </c>
      <c r="L34" s="844" t="str">
        <f>IF(I34=0,"",I34)</f>
        <v>2.5.1</v>
      </c>
      <c r="M34" s="844" t="str">
        <f>IF(J34=0,"",J34)</f>
        <v xml:space="preserve">Расходы на оплату труда административно-управленческого персонала, в том числе:</v>
      </c>
      <c r="N34" s="844" t="str">
        <f>IF(K34=0,"",K34)</f>
        <v/>
      </c>
      <c r="O34" s="957" t="s">
        <v>2079</v>
      </c>
      <c r="P34" s="957" t="s">
        <v>2061</v>
      </c>
      <c r="Q34" s="957" t="s">
        <v>2079</v>
      </c>
      <c r="R34" s="957" t="s">
        <v>2061</v>
      </c>
      <c r="S34" s="957"/>
      <c r="T34" s="966" t="s">
        <v>2080</v>
      </c>
      <c r="U34" s="846" t="s">
        <v>2080</v>
      </c>
      <c r="V34" s="846" t="s">
        <v>2080</v>
      </c>
      <c r="W34" s="846" t="s">
        <v>2081</v>
      </c>
      <c r="X34" s="843"/>
      <c r="Y34" s="1000"/>
      <c r="Z34" s="846"/>
      <c r="AA34" s="849"/>
      <c r="AB34" s="846"/>
      <c r="AC34" s="846"/>
      <c r="AD34" s="846"/>
    </row>
    <row r="35" ht="45" customHeight="1">
      <c r="A35" s="845"/>
      <c r="B35" s="899">
        <v>18</v>
      </c>
      <c r="C35" s="843" t="s">
        <v>2082</v>
      </c>
      <c r="D35" s="967"/>
      <c r="E35" s="843"/>
      <c r="F35" s="843"/>
      <c r="G35" s="891"/>
      <c r="H35" s="958"/>
      <c r="I35" s="1005" t="str">
        <f>INDEX(TEMPLATE_NUMBER_POINT_FHD,B35,MATCH(TEMPLATE_SPHERE,TEMPLATE_SPHERE_LIST_FOR_NOTE,0))</f>
        <v>2.5.2</v>
      </c>
      <c r="J35" s="1005" t="str">
        <f>INDEX(TEMPLATE_DATA_POINT_FHD,B35,MATCH(TEMPLATE_SPHERE,TEMPLATE_SPHERE_LIST_FOR_NOTE,0))</f>
        <v xml:space="preserve">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2.5.2</v>
      </c>
      <c r="M35" s="844" t="str">
        <f>IF(J35=0,"",J35)</f>
        <v xml:space="preserve">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2083</v>
      </c>
      <c r="P35" s="957" t="s">
        <v>2063</v>
      </c>
      <c r="Q35" s="957" t="s">
        <v>2083</v>
      </c>
      <c r="R35" s="957" t="s">
        <v>2063</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 xml:space="preserve">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6" t="s">
        <v>2084</v>
      </c>
      <c r="V35" s="846" t="s">
        <v>2084</v>
      </c>
      <c r="W35" s="846" t="s">
        <v>2084</v>
      </c>
      <c r="X35" s="843"/>
      <c r="Y35" s="1000"/>
      <c r="Z35" s="846"/>
      <c r="AA35" s="849"/>
      <c r="AB35" s="846"/>
      <c r="AC35" s="846"/>
      <c r="AD35" s="846"/>
    </row>
    <row r="36" ht="18" customHeight="1">
      <c r="A36" s="845"/>
      <c r="B36" s="899">
        <v>19</v>
      </c>
      <c r="C36" s="843">
        <v>11</v>
      </c>
      <c r="D36" s="967"/>
      <c r="E36" s="843"/>
      <c r="F36" s="843"/>
      <c r="G36" s="891"/>
      <c r="H36" s="958"/>
      <c r="I36" s="1005" t="str">
        <f>INDEX(TEMPLATE_NUMBER_POINT_FHD,B36,MATCH(TEMPLATE_SPHERE,TEMPLATE_SPHERE_LIST_FOR_NOTE,0))</f>
        <v>2.6</v>
      </c>
      <c r="J36" s="1005" t="str">
        <f>INDEX(TEMPLATE_DATA_POINT_FHD,B36,MATCH(TEMPLATE_SPHERE,TEMPLATE_SPHERE_LIST_FOR_NOTE,0))</f>
        <v xml:space="preserve">Расходы на амортизацию основных средств и нематериальных активов</v>
      </c>
      <c r="K36" s="1005">
        <f>INDEX(TEMPLATE_NOTE_POINT_FHD,B36,MATCH(TEMPLATE_SPHERE,TEMPLATE_SPHERE_LIST_FOR_NOTE,0))</f>
        <v>0</v>
      </c>
      <c r="L36" s="844" t="str">
        <f>IF(I36=0,"",I36)</f>
        <v>2.6</v>
      </c>
      <c r="M36" s="844" t="str">
        <f>IF(J36=0,"",J36)</f>
        <v xml:space="preserve">Расходы на амортизацию основных средств и нематериальных активов</v>
      </c>
      <c r="N36" s="844" t="str">
        <f>IF(K36=0,"",K36)</f>
        <v/>
      </c>
      <c r="O36" s="957" t="s">
        <v>744</v>
      </c>
      <c r="P36" s="957" t="s">
        <v>740</v>
      </c>
      <c r="Q36" s="957" t="s">
        <v>744</v>
      </c>
      <c r="R36" s="957" t="s">
        <v>740</v>
      </c>
      <c r="S36" s="957"/>
      <c r="T36" s="964" t="s">
        <v>2085</v>
      </c>
      <c r="U36" s="846" t="s">
        <v>2085</v>
      </c>
      <c r="V36" s="846" t="s">
        <v>2085</v>
      </c>
      <c r="W36" s="846" t="s">
        <v>2085</v>
      </c>
      <c r="X36" s="843"/>
      <c r="Y36" s="1000"/>
      <c r="Z36" s="846"/>
      <c r="AA36" s="849"/>
      <c r="AB36" s="846"/>
      <c r="AC36" s="846"/>
      <c r="AD36" s="846"/>
    </row>
    <row r="37" ht="18" customHeight="1">
      <c r="A37" s="845"/>
      <c r="B37" s="899">
        <v>20</v>
      </c>
      <c r="C37" s="843" t="s">
        <v>2086</v>
      </c>
      <c r="D37" s="967"/>
      <c r="E37" s="843"/>
      <c r="F37" s="843"/>
      <c r="G37" s="891"/>
      <c r="H37" s="958"/>
      <c r="I37" s="1005" t="str">
        <f>INDEX(TEMPLATE_NUMBER_POINT_FHD,B37,MATCH(TEMPLATE_SPHERE,TEMPLATE_SPHERE_LIST_FOR_NOTE,0))</f>
        <v>2.6.1</v>
      </c>
      <c r="J37" s="1005" t="str">
        <f>INDEX(TEMPLATE_DATA_POINT_FHD,B37,MATCH(TEMPLATE_SPHERE,TEMPLATE_SPHERE_LIST_FOR_NOTE,0))</f>
        <v xml:space="preserve">Расходы на амортизацию основных средств</v>
      </c>
      <c r="K37" s="1005">
        <f>INDEX(TEMPLATE_NOTE_POINT_FHD,B37,MATCH(TEMPLATE_SPHERE,TEMPLATE_SPHERE_LIST_FOR_NOTE,0))</f>
        <v>0</v>
      </c>
      <c r="L37" s="844" t="str">
        <f>IF(I37=0,"",I37)</f>
        <v>2.6.1</v>
      </c>
      <c r="M37" s="844" t="str">
        <f>IF(J37=0,"",J37)</f>
        <v xml:space="preserve">Расходы на амортизацию основных средств</v>
      </c>
      <c r="N37" s="844" t="str">
        <f>IF(K37=0,"",K37)</f>
        <v/>
      </c>
      <c r="O37" s="957" t="s">
        <v>2087</v>
      </c>
      <c r="P37" s="957" t="s">
        <v>2070</v>
      </c>
      <c r="Q37" s="957" t="s">
        <v>2087</v>
      </c>
      <c r="R37" s="957" t="s">
        <v>2070</v>
      </c>
      <c r="S37" s="957"/>
      <c r="T37" s="964" t="s">
        <v>2088</v>
      </c>
      <c r="U37" s="846" t="s">
        <v>2088</v>
      </c>
      <c r="V37" s="846" t="s">
        <v>2088</v>
      </c>
      <c r="W37" s="846" t="s">
        <v>2088</v>
      </c>
      <c r="X37" s="843"/>
      <c r="Y37" s="1000"/>
      <c r="Z37" s="846"/>
      <c r="AA37" s="849"/>
      <c r="AB37" s="846"/>
      <c r="AC37" s="846"/>
      <c r="AD37" s="846"/>
    </row>
    <row r="38" ht="18" customHeight="1">
      <c r="A38" s="845"/>
      <c r="B38" s="899">
        <v>21</v>
      </c>
      <c r="C38" s="843" t="s">
        <v>2089</v>
      </c>
      <c r="D38" s="967"/>
      <c r="E38" s="843"/>
      <c r="F38" s="843"/>
      <c r="G38" s="891"/>
      <c r="H38" s="958"/>
      <c r="I38" s="1005" t="str">
        <f>INDEX(TEMPLATE_NUMBER_POINT_FHD,B38,MATCH(TEMPLATE_SPHERE,TEMPLATE_SPHERE_LIST_FOR_NOTE,0))</f>
        <v>2.6.2</v>
      </c>
      <c r="J38" s="1005" t="str">
        <f>INDEX(TEMPLATE_DATA_POINT_FHD,B38,MATCH(TEMPLATE_SPHERE,TEMPLATE_SPHERE_LIST_FOR_NOTE,0))</f>
        <v xml:space="preserve">Расходы на амортизацию нематериальных активов</v>
      </c>
      <c r="K38" s="1005">
        <f>INDEX(TEMPLATE_NOTE_POINT_FHD,B38,MATCH(TEMPLATE_SPHERE,TEMPLATE_SPHERE_LIST_FOR_NOTE,0))</f>
        <v>0</v>
      </c>
      <c r="L38" s="844" t="str">
        <f>IF(I38=0,"",I38)</f>
        <v>2.6.2</v>
      </c>
      <c r="M38" s="844" t="str">
        <f>IF(J38=0,"",J38)</f>
        <v xml:space="preserve">Расходы на амортизацию нематериальных активов</v>
      </c>
      <c r="N38" s="844" t="str">
        <f>IF(K38=0,"",K38)</f>
        <v/>
      </c>
      <c r="O38" s="957" t="s">
        <v>2090</v>
      </c>
      <c r="P38" s="957" t="s">
        <v>2073</v>
      </c>
      <c r="Q38" s="957" t="s">
        <v>2090</v>
      </c>
      <c r="R38" s="957" t="s">
        <v>2073</v>
      </c>
      <c r="S38" s="957"/>
      <c r="T38" s="964" t="s">
        <v>2091</v>
      </c>
      <c r="U38" s="846" t="s">
        <v>2091</v>
      </c>
      <c r="V38" s="846" t="s">
        <v>2091</v>
      </c>
      <c r="W38" s="846" t="s">
        <v>2091</v>
      </c>
      <c r="X38" s="843"/>
      <c r="Y38" s="1000"/>
      <c r="Z38" s="846"/>
      <c r="AA38" s="849"/>
      <c r="AB38" s="846"/>
      <c r="AC38" s="846"/>
      <c r="AD38" s="846"/>
    </row>
    <row r="39" ht="36" customHeight="1">
      <c r="A39" s="845"/>
      <c r="B39" s="899">
        <v>22</v>
      </c>
      <c r="C39" s="843">
        <v>12</v>
      </c>
      <c r="D39" s="967"/>
      <c r="E39" s="843"/>
      <c r="F39" s="843"/>
      <c r="G39" s="891"/>
      <c r="H39" s="958"/>
      <c r="I39" s="1005" t="str">
        <f>INDEX(TEMPLATE_NUMBER_POINT_FHD,B39,MATCH(TEMPLATE_SPHERE,TEMPLATE_SPHERE_LIST_FOR_NOTE,0))</f>
        <v>2.7</v>
      </c>
      <c r="J39" s="1005" t="str">
        <f>INDEX(TEMPLATE_DATA_POINT_FHD,B39,MATCH(TEMPLATE_SPHERE,TEMPLATE_SPHERE_LIST_FOR_NOTE,0))</f>
        <v xml:space="preserve">Расходы на аренду имущества, используемого для осуществления регулируемых видов деятельности в сфере водоотведения</v>
      </c>
      <c r="K39" s="1005">
        <f>INDEX(TEMPLATE_NOTE_POINT_FHD,B39,MATCH(TEMPLATE_SPHERE,TEMPLATE_SPHERE_LIST_FOR_NOTE,0))</f>
        <v>0</v>
      </c>
      <c r="L39" s="844" t="str">
        <f>IF(I39=0,"",I39)</f>
        <v>2.7</v>
      </c>
      <c r="M39" s="844" t="str">
        <f>IF(J39=0,"",J39)</f>
        <v xml:space="preserve">Расходы на аренду имущества, используемого для осуществления регулируемых видов деятельности в сфере водоотведения</v>
      </c>
      <c r="N39" s="844" t="str">
        <f>IF(K39=0,"",K39)</f>
        <v/>
      </c>
      <c r="O39" s="957" t="s">
        <v>748</v>
      </c>
      <c r="P39" s="957" t="s">
        <v>742</v>
      </c>
      <c r="Q39" s="957" t="s">
        <v>748</v>
      </c>
      <c r="R39" s="957" t="s">
        <v>742</v>
      </c>
      <c r="S39" s="957"/>
      <c r="T39" s="964" t="s">
        <v>2092</v>
      </c>
      <c r="U39" s="846" t="s">
        <v>2093</v>
      </c>
      <c r="V39" s="846" t="s">
        <v>2094</v>
      </c>
      <c r="W39" s="846" t="s">
        <v>2095</v>
      </c>
      <c r="X39" s="843"/>
      <c r="Y39" s="1000"/>
      <c r="Z39" s="846"/>
      <c r="AA39" s="849"/>
      <c r="AB39" s="846"/>
      <c r="AC39" s="846"/>
      <c r="AD39" s="846"/>
    </row>
    <row r="40" ht="18" customHeight="1">
      <c r="A40" s="845"/>
      <c r="B40" s="899">
        <v>23</v>
      </c>
      <c r="C40" s="843">
        <v>13</v>
      </c>
      <c r="D40" s="967"/>
      <c r="E40" s="843"/>
      <c r="F40" s="843"/>
      <c r="G40" s="843"/>
      <c r="H40" s="894"/>
      <c r="I40" s="1005" t="str">
        <f>INDEX(TEMPLATE_NUMBER_POINT_FHD,B40,MATCH(TEMPLATE_SPHERE,TEMPLATE_SPHERE_LIST_FOR_NOTE,0))</f>
        <v>2.8</v>
      </c>
      <c r="J40" s="1005" t="str">
        <f>INDEX(TEMPLATE_DATA_POINT_FHD,B40,MATCH(TEMPLATE_SPHERE,TEMPLATE_SPHERE_LIST_FOR_NOTE,0))</f>
        <v xml:space="preserve">Общепроизводственные расходы, в том числе:</v>
      </c>
      <c r="K40" s="1005" t="str">
        <f>INDEX(TEMPLATE_NOTE_POINT_FHD,B40,MATCH(TEMPLATE_SPHERE,TEMPLATE_SPHERE_LIST_FOR_NOTE,0))</f>
        <v xml:space="preserve">Указывается общая сумма общепроизводственных расходов.</v>
      </c>
      <c r="L40" s="844" t="str">
        <f>IF(I40=0,"",I40)</f>
        <v>2.8</v>
      </c>
      <c r="M40" s="844" t="str">
        <f>IF(J40=0,"",J40)</f>
        <v xml:space="preserve">Общепроизводственные расходы, в том числе:</v>
      </c>
      <c r="N40" s="844" t="str">
        <f>IF(K40=0,"",K40)</f>
        <v xml:space="preserve">Указывается общая сумма общепроизводственных расходов.</v>
      </c>
      <c r="O40" s="957" t="s">
        <v>2096</v>
      </c>
      <c r="P40" s="957" t="s">
        <v>744</v>
      </c>
      <c r="Q40" s="957" t="s">
        <v>2096</v>
      </c>
      <c r="R40" s="957" t="s">
        <v>744</v>
      </c>
      <c r="S40" s="957"/>
      <c r="T40" s="843" t="s">
        <v>2097</v>
      </c>
      <c r="U40" s="843" t="s">
        <v>2097</v>
      </c>
      <c r="V40" s="843" t="s">
        <v>2097</v>
      </c>
      <c r="W40" s="843" t="s">
        <v>2097</v>
      </c>
      <c r="X40" s="843"/>
      <c r="Y40" s="1000"/>
      <c r="Z40" s="846" t="s">
        <v>2098</v>
      </c>
      <c r="AA40" s="849" t="s">
        <v>2098</v>
      </c>
      <c r="AB40" s="849" t="s">
        <v>2098</v>
      </c>
      <c r="AC40" s="849" t="s">
        <v>2098</v>
      </c>
      <c r="AD40" s="846"/>
    </row>
    <row r="41" ht="27" customHeight="1">
      <c r="A41" s="845"/>
      <c r="B41" s="899">
        <v>24</v>
      </c>
      <c r="C41" s="843" t="s">
        <v>2099</v>
      </c>
      <c r="D41" s="967"/>
      <c r="E41" s="843"/>
      <c r="F41" s="843"/>
      <c r="G41" s="843"/>
      <c r="H41" s="891"/>
      <c r="I41" s="1005" t="str">
        <f>INDEX(TEMPLATE_NUMBER_POINT_FHD,B41,MATCH(TEMPLATE_SPHERE,TEMPLATE_SPHERE_LIST_FOR_NOTE,0))</f>
        <v>2.8.1</v>
      </c>
      <c r="J41" s="1005" t="str">
        <f>INDEX(TEMPLATE_DATA_POINT_FHD,B41,MATCH(TEMPLATE_SPHERE,TEMPLATE_SPHERE_LIST_FOR_NOTE,0))</f>
        <v xml:space="preserve">Расходы на текущий ремонт</v>
      </c>
      <c r="K41" s="1005" t="str">
        <f>INDEX(TEMPLATE_NOTE_POINT_FHD,B41,MATCH(TEMPLATE_SPHERE,TEMPLATE_SPHERE_LIST_FOR_NOTE,0))</f>
        <v xml:space="preserve">Указываются расходы на текущий ремонт, отнесенные к общепроизводственным расходам.</v>
      </c>
      <c r="L41" s="844" t="str">
        <f>IF(I41=0,"",I41)</f>
        <v>2.8.1</v>
      </c>
      <c r="M41" s="844" t="str">
        <f>IF(J41=0,"",J41)</f>
        <v xml:space="preserve">Расходы на текущий ремонт</v>
      </c>
      <c r="N41" s="844" t="str">
        <f>IF(K41=0,"",K41)</f>
        <v xml:space="preserve">Указываются расходы на текущий ремонт, отнесенные к общепроизводственным расходам.</v>
      </c>
      <c r="O41" s="957" t="s">
        <v>2100</v>
      </c>
      <c r="P41" s="957" t="s">
        <v>2087</v>
      </c>
      <c r="Q41" s="957" t="s">
        <v>2100</v>
      </c>
      <c r="R41" s="957" t="s">
        <v>2087</v>
      </c>
      <c r="S41" s="957"/>
      <c r="T41" s="843" t="s">
        <v>2101</v>
      </c>
      <c r="U41" s="843" t="s">
        <v>2101</v>
      </c>
      <c r="V41" s="843" t="s">
        <v>2101</v>
      </c>
      <c r="W41" s="843" t="s">
        <v>2101</v>
      </c>
      <c r="X41" s="843"/>
      <c r="Y41" s="1000"/>
      <c r="Z41" s="846" t="s">
        <v>2102</v>
      </c>
      <c r="AA41" s="846" t="s">
        <v>2102</v>
      </c>
      <c r="AB41" s="846" t="s">
        <v>2102</v>
      </c>
      <c r="AC41" s="846" t="s">
        <v>2102</v>
      </c>
      <c r="AD41" s="846"/>
    </row>
    <row r="42" ht="27" customHeight="1">
      <c r="A42" s="845"/>
      <c r="B42" s="899">
        <v>25</v>
      </c>
      <c r="C42" s="843" t="s">
        <v>2103</v>
      </c>
      <c r="D42" s="967"/>
      <c r="E42" s="843"/>
      <c r="F42" s="843"/>
      <c r="G42" s="843"/>
      <c r="H42" s="891"/>
      <c r="I42" s="1005" t="str">
        <f>INDEX(TEMPLATE_NUMBER_POINT_FHD,B42,MATCH(TEMPLATE_SPHERE,TEMPLATE_SPHERE_LIST_FOR_NOTE,0))</f>
        <v>2.8.2</v>
      </c>
      <c r="J42" s="1005" t="str">
        <f>INDEX(TEMPLATE_DATA_POINT_FHD,B42,MATCH(TEMPLATE_SPHERE,TEMPLATE_SPHERE_LIST_FOR_NOTE,0))</f>
        <v xml:space="preserve">Расходы на капитальный ремонт</v>
      </c>
      <c r="K42" s="1005" t="str">
        <f>INDEX(TEMPLATE_NOTE_POINT_FHD,B42,MATCH(TEMPLATE_SPHERE,TEMPLATE_SPHERE_LIST_FOR_NOTE,0))</f>
        <v xml:space="preserve">Указываются расходы на капитальный ремонт, отнесенные к общепроизводственным расходам.</v>
      </c>
      <c r="L42" s="844" t="str">
        <f>IF(I42=0,"",I42)</f>
        <v>2.8.2</v>
      </c>
      <c r="M42" s="844" t="str">
        <f>IF(J42=0,"",J42)</f>
        <v xml:space="preserve">Расходы на капитальный ремонт</v>
      </c>
      <c r="N42" s="844" t="str">
        <f>IF(K42=0,"",K42)</f>
        <v xml:space="preserve">Указываются расходы на капитальный ремонт, отнесенные к общепроизводственным расходам.</v>
      </c>
      <c r="O42" s="957" t="s">
        <v>2104</v>
      </c>
      <c r="P42" s="957" t="s">
        <v>2090</v>
      </c>
      <c r="Q42" s="957" t="s">
        <v>2104</v>
      </c>
      <c r="R42" s="957" t="s">
        <v>2090</v>
      </c>
      <c r="S42" s="957"/>
      <c r="T42" s="843" t="s">
        <v>2105</v>
      </c>
      <c r="U42" s="843" t="s">
        <v>2105</v>
      </c>
      <c r="V42" s="843" t="s">
        <v>2105</v>
      </c>
      <c r="W42" s="843" t="s">
        <v>2105</v>
      </c>
      <c r="X42" s="843"/>
      <c r="Y42" s="1000"/>
      <c r="Z42" s="846" t="s">
        <v>2106</v>
      </c>
      <c r="AA42" s="846" t="s">
        <v>2106</v>
      </c>
      <c r="AB42" s="846" t="s">
        <v>2106</v>
      </c>
      <c r="AC42" s="846" t="s">
        <v>2106</v>
      </c>
      <c r="AD42" s="846"/>
    </row>
    <row r="43" ht="18" customHeight="1">
      <c r="A43" s="845"/>
      <c r="B43" s="899">
        <v>26</v>
      </c>
      <c r="C43" s="843">
        <v>14</v>
      </c>
      <c r="D43" s="967"/>
      <c r="E43" s="843"/>
      <c r="F43" s="843"/>
      <c r="G43" s="843"/>
      <c r="H43" s="891"/>
      <c r="I43" s="1005" t="str">
        <f>INDEX(TEMPLATE_NUMBER_POINT_FHD,B43,MATCH(TEMPLATE_SPHERE,TEMPLATE_SPHERE_LIST_FOR_NOTE,0))</f>
        <v>2.9</v>
      </c>
      <c r="J43" s="1005" t="str">
        <f>INDEX(TEMPLATE_DATA_POINT_FHD,B43,MATCH(TEMPLATE_SPHERE,TEMPLATE_SPHERE_LIST_FOR_NOTE,0))</f>
        <v xml:space="preserve">Общехозяйственные расходы, в том числе:</v>
      </c>
      <c r="K43" s="1005" t="str">
        <f>INDEX(TEMPLATE_NOTE_POINT_FHD,B43,MATCH(TEMPLATE_SPHERE,TEMPLATE_SPHERE_LIST_FOR_NOTE,0))</f>
        <v xml:space="preserve">Указывается общая сумма общехозяйственных расходов.</v>
      </c>
      <c r="L43" s="844" t="str">
        <f>IF(I43=0,"",I43)</f>
        <v>2.9</v>
      </c>
      <c r="M43" s="844" t="str">
        <f>IF(J43=0,"",J43)</f>
        <v xml:space="preserve">Общехозяйственные расходы, в том числе:</v>
      </c>
      <c r="N43" s="844" t="str">
        <f>IF(K43=0,"",K43)</f>
        <v xml:space="preserve">Указывается общая сумма общехозяйственных расходов.</v>
      </c>
      <c r="O43" s="957" t="s">
        <v>2107</v>
      </c>
      <c r="P43" s="957" t="s">
        <v>748</v>
      </c>
      <c r="Q43" s="957" t="s">
        <v>2107</v>
      </c>
      <c r="R43" s="957" t="s">
        <v>748</v>
      </c>
      <c r="S43" s="957"/>
      <c r="T43" s="843" t="s">
        <v>2108</v>
      </c>
      <c r="U43" s="843" t="s">
        <v>2108</v>
      </c>
      <c r="V43" s="843" t="s">
        <v>2108</v>
      </c>
      <c r="W43" s="843" t="s">
        <v>2108</v>
      </c>
      <c r="X43" s="843"/>
      <c r="Y43" s="1000"/>
      <c r="Z43" s="846" t="s">
        <v>2109</v>
      </c>
      <c r="AA43" s="846" t="s">
        <v>2109</v>
      </c>
      <c r="AB43" s="846" t="s">
        <v>2109</v>
      </c>
      <c r="AC43" s="846" t="s">
        <v>2109</v>
      </c>
      <c r="AD43" s="846"/>
    </row>
    <row r="44" ht="27" customHeight="1">
      <c r="A44" s="845"/>
      <c r="B44" s="899">
        <v>27</v>
      </c>
      <c r="C44" s="843" t="s">
        <v>2110</v>
      </c>
      <c r="D44" s="967"/>
      <c r="E44" s="843"/>
      <c r="F44" s="843"/>
      <c r="G44" s="843"/>
      <c r="H44" s="891"/>
      <c r="I44" s="1005" t="str">
        <f>INDEX(TEMPLATE_NUMBER_POINT_FHD,B44,MATCH(TEMPLATE_SPHERE,TEMPLATE_SPHERE_LIST_FOR_NOTE,0))</f>
        <v>2.9.1</v>
      </c>
      <c r="J44" s="1005" t="str">
        <f>INDEX(TEMPLATE_DATA_POINT_FHD,B44,MATCH(TEMPLATE_SPHERE,TEMPLATE_SPHERE_LIST_FOR_NOTE,0))</f>
        <v xml:space="preserve">Расходы на текущий ремонт</v>
      </c>
      <c r="K44" s="1005" t="str">
        <f>INDEX(TEMPLATE_NOTE_POINT_FHD,B44,MATCH(TEMPLATE_SPHERE,TEMPLATE_SPHERE_LIST_FOR_NOTE,0))</f>
        <v xml:space="preserve">Указываются расходы на текущий ремонт, отнесенные к общехозяйственным расходам.</v>
      </c>
      <c r="L44" s="844" t="str">
        <f>IF(I44=0,"",I44)</f>
        <v>2.9.1</v>
      </c>
      <c r="M44" s="844" t="str">
        <f>IF(J44=0,"",J44)</f>
        <v xml:space="preserve">Расходы на текущий ремонт</v>
      </c>
      <c r="N44" s="844" t="str">
        <f>IF(K44=0,"",K44)</f>
        <v xml:space="preserve">Указываются расходы на текущий ремонт, отнесенные к общехозяйственным расходам.</v>
      </c>
      <c r="O44" s="957" t="s">
        <v>2111</v>
      </c>
      <c r="P44" s="957" t="s">
        <v>2112</v>
      </c>
      <c r="Q44" s="957" t="s">
        <v>2111</v>
      </c>
      <c r="R44" s="957" t="s">
        <v>2112</v>
      </c>
      <c r="S44" s="957"/>
      <c r="T44" s="843" t="s">
        <v>2101</v>
      </c>
      <c r="U44" s="843" t="s">
        <v>2101</v>
      </c>
      <c r="V44" s="843" t="s">
        <v>2101</v>
      </c>
      <c r="W44" s="843" t="s">
        <v>2101</v>
      </c>
      <c r="X44" s="843"/>
      <c r="Y44" s="1000"/>
      <c r="Z44" s="846" t="s">
        <v>2113</v>
      </c>
      <c r="AA44" s="846" t="s">
        <v>2113</v>
      </c>
      <c r="AB44" s="846" t="s">
        <v>2113</v>
      </c>
      <c r="AC44" s="846" t="s">
        <v>2113</v>
      </c>
      <c r="AD44" s="846"/>
    </row>
    <row r="45" ht="27" customHeight="1">
      <c r="A45" s="845"/>
      <c r="B45" s="899">
        <v>28</v>
      </c>
      <c r="C45" s="843" t="s">
        <v>2114</v>
      </c>
      <c r="D45" s="967"/>
      <c r="E45" s="843"/>
      <c r="F45" s="843"/>
      <c r="G45" s="843"/>
      <c r="H45" s="891"/>
      <c r="I45" s="1005" t="str">
        <f>INDEX(TEMPLATE_NUMBER_POINT_FHD,B45,MATCH(TEMPLATE_SPHERE,TEMPLATE_SPHERE_LIST_FOR_NOTE,0))</f>
        <v>2.9.2</v>
      </c>
      <c r="J45" s="1005" t="str">
        <f>INDEX(TEMPLATE_DATA_POINT_FHD,B45,MATCH(TEMPLATE_SPHERE,TEMPLATE_SPHERE_LIST_FOR_NOTE,0))</f>
        <v xml:space="preserve">Расходы на капитальный ремонт</v>
      </c>
      <c r="K45" s="1005" t="str">
        <f>INDEX(TEMPLATE_NOTE_POINT_FHD,B45,MATCH(TEMPLATE_SPHERE,TEMPLATE_SPHERE_LIST_FOR_NOTE,0))</f>
        <v xml:space="preserve">Указываются расходы на капитальный ремонт, отнесенные к общехозяйственным расходам.</v>
      </c>
      <c r="L45" s="844" t="str">
        <f>IF(I45=0,"",I45)</f>
        <v>2.9.2</v>
      </c>
      <c r="M45" s="844" t="str">
        <f>IF(J45=0,"",J45)</f>
        <v xml:space="preserve">Расходы на капитальный ремонт</v>
      </c>
      <c r="N45" s="844" t="str">
        <f>IF(K45=0,"",K45)</f>
        <v xml:space="preserve">Указываются расходы на капитальный ремонт, отнесенные к общехозяйственным расходам.</v>
      </c>
      <c r="O45" s="957" t="s">
        <v>2115</v>
      </c>
      <c r="P45" s="957" t="s">
        <v>2116</v>
      </c>
      <c r="Q45" s="957" t="s">
        <v>2115</v>
      </c>
      <c r="R45" s="957" t="s">
        <v>2116</v>
      </c>
      <c r="S45" s="957"/>
      <c r="T45" s="843" t="s">
        <v>2105</v>
      </c>
      <c r="U45" s="843" t="s">
        <v>2105</v>
      </c>
      <c r="V45" s="843" t="s">
        <v>2105</v>
      </c>
      <c r="W45" s="843" t="s">
        <v>2105</v>
      </c>
      <c r="X45" s="843"/>
      <c r="Y45" s="1000"/>
      <c r="Z45" s="846" t="s">
        <v>2117</v>
      </c>
      <c r="AA45" s="846" t="s">
        <v>2117</v>
      </c>
      <c r="AB45" s="846" t="s">
        <v>2117</v>
      </c>
      <c r="AC45" s="846" t="s">
        <v>2117</v>
      </c>
      <c r="AD45" s="846"/>
    </row>
    <row r="46" ht="54" customHeight="1">
      <c r="A46" s="845"/>
      <c r="B46" s="899">
        <v>29</v>
      </c>
      <c r="C46" s="843">
        <v>15</v>
      </c>
      <c r="D46" s="967"/>
      <c r="E46" s="843"/>
      <c r="F46" s="843"/>
      <c r="G46" s="843"/>
      <c r="H46" s="891"/>
      <c r="I46" s="1005" t="str">
        <f>INDEX(TEMPLATE_NUMBER_POINT_FHD,B46,MATCH(TEMPLATE_SPHERE,TEMPLATE_SPHERE_LIST_FOR_NOTE,0))</f>
        <v>2.10</v>
      </c>
      <c r="J46" s="1005" t="str">
        <f>INDEX(TEMPLATE_DATA_POINT_FHD,B46,MATCH(TEMPLATE_SPHERE,TEMPLATE_SPHERE_LIST_FOR_NOTE,0))</f>
        <v xml:space="preserve">Расходы на капитальный и текущий ремонт основных средств</v>
      </c>
      <c r="K46" s="1005" t="str">
        <f>INDEX(TEMPLATE_NOTE_POINT_FHD,B46,MATCH(TEMPLATE_SPHERE,TEMPLATE_SPHERE_LIST_FOR_NOTE,0))</f>
        <v xml:space="preserve">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2.10</v>
      </c>
      <c r="M46" s="844" t="str">
        <f>IF(J46=0,"",J46)</f>
        <v xml:space="preserve">Расходы на капитальный и текущий ремонт основных средств</v>
      </c>
      <c r="N46" s="844" t="str">
        <f>IF(K46=0,"",K46)</f>
        <v xml:space="preserve">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2118</v>
      </c>
      <c r="P46" s="957" t="s">
        <v>2096</v>
      </c>
      <c r="Q46" s="957" t="s">
        <v>2118</v>
      </c>
      <c r="R46" s="957" t="s">
        <v>2096</v>
      </c>
      <c r="S46" s="957"/>
      <c r="T46" s="844" t="str">
        <f>"Расходы на капитальный и текущий ремонт основных"&amp;IF(TITLE_TYPE_ORG="Регулируемая организация",""," производственных")&amp;" средств"</f>
        <v xml:space="preserve">Расходы на капитальный и текущий ремонт основных производственных средств</v>
      </c>
      <c r="U46" s="843" t="s">
        <v>2119</v>
      </c>
      <c r="V46" s="843" t="s">
        <v>2119</v>
      </c>
      <c r="W46" s="843" t="s">
        <v>2119</v>
      </c>
      <c r="X46" s="843"/>
      <c r="Y46" s="1000"/>
      <c r="Z46" s="846" t="s">
        <v>2120</v>
      </c>
      <c r="AA46" s="846" t="s">
        <v>2121</v>
      </c>
      <c r="AB46" s="846" t="s">
        <v>2121</v>
      </c>
      <c r="AC46" s="846" t="s">
        <v>2121</v>
      </c>
      <c r="AD46" s="846"/>
    </row>
    <row r="47" ht="54" customHeight="1">
      <c r="A47" s="845"/>
      <c r="B47" s="899">
        <v>30</v>
      </c>
      <c r="C47" s="843" t="s">
        <v>2122</v>
      </c>
      <c r="D47" s="967"/>
      <c r="E47" s="843"/>
      <c r="F47" s="843"/>
      <c r="G47" s="843"/>
      <c r="H47" s="891"/>
      <c r="I47" s="1005" t="str">
        <f>INDEX(TEMPLATE_NUMBER_POINT_FHD,B47,MATCH(TEMPLATE_SPHERE,TEMPLATE_SPHERE_LIST_FOR_NOTE,0))</f>
        <v>2.10.1</v>
      </c>
      <c r="J47" s="1005" t="str">
        <f>INDEX(TEMPLATE_DATA_POINT_FHD,B47,MATCH(TEMPLATE_SPHERE,TEMPLATE_SPHERE_LIST_FOR_NOTE,0))</f>
        <v xml:space="preserve">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2.10.1</v>
      </c>
      <c r="M47" s="844" t="str">
        <f>IF(J47=0,"",J47)</f>
        <v xml:space="preserve">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2123</v>
      </c>
      <c r="P47" s="957" t="s">
        <v>2100</v>
      </c>
      <c r="Q47" s="957" t="s">
        <v>2123</v>
      </c>
      <c r="R47" s="957" t="s">
        <v>2100</v>
      </c>
      <c r="S47" s="957"/>
      <c r="T47" s="843" t="s">
        <v>2124</v>
      </c>
      <c r="U47" s="843" t="s">
        <v>2124</v>
      </c>
      <c r="V47" s="843" t="s">
        <v>2124</v>
      </c>
      <c r="W47" s="843" t="s">
        <v>2124</v>
      </c>
      <c r="X47" s="843"/>
      <c r="Y47" s="1000"/>
      <c r="Z47" s="846"/>
      <c r="AA47" s="849"/>
      <c r="AB47" s="849"/>
      <c r="AC47" s="849"/>
      <c r="AD47" s="846"/>
    </row>
    <row r="48" ht="54" customHeight="1">
      <c r="A48" s="845"/>
      <c r="B48" s="899">
        <v>31</v>
      </c>
      <c r="C48" s="843">
        <v>16</v>
      </c>
      <c r="D48" s="967"/>
      <c r="E48" s="843"/>
      <c r="F48" s="843"/>
      <c r="G48" s="843"/>
      <c r="H48" s="891"/>
      <c r="I48" s="1005" t="str">
        <f>INDEX(TEMPLATE_NUMBER_POINT_FHD,B48,MATCH(TEMPLATE_SPHERE,TEMPLATE_SPHERE_LIST_FOR_NOTE,0))</f>
        <v>2.11</v>
      </c>
      <c r="J48" s="1005" t="str">
        <f>INDEX(TEMPLATE_DATA_POINT_FHD,B48,MATCH(TEMPLATE_SPHERE,TEMPLATE_SPHERE_LIST_FOR_NOTE,0))</f>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5" t="str">
        <f>INDEX(TEMPLATE_NOTE_POINT_FHD,B48,MATCH(TEMPLATE_SPHERE,TEMPLATE_SPHERE_LIST_FOR_NOTE,0))</f>
        <v xml:space="preserve">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4" t="str">
        <f>IF(I48=0,"",I48)</f>
        <v>2.11</v>
      </c>
      <c r="M48" s="844" t="str">
        <f>IF(J48=0,"",J48)</f>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44" t="str">
        <f>IF(K48=0,"",K48)</f>
        <v xml:space="preserve">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7"/>
      <c r="P48" s="957" t="s">
        <v>2107</v>
      </c>
      <c r="Q48" s="957" t="s">
        <v>2125</v>
      </c>
      <c r="R48" s="957" t="s">
        <v>2107</v>
      </c>
      <c r="S48" s="957"/>
      <c r="T48" s="843"/>
      <c r="U48" s="843" t="s">
        <v>2126</v>
      </c>
      <c r="V48" s="843" t="s">
        <v>2127</v>
      </c>
      <c r="W48" s="843" t="s">
        <v>2127</v>
      </c>
      <c r="X48" s="843"/>
      <c r="Y48" s="1000"/>
      <c r="Z48" s="846"/>
      <c r="AA48" s="849" t="s">
        <v>2121</v>
      </c>
      <c r="AB48" s="849" t="s">
        <v>2121</v>
      </c>
      <c r="AC48" s="849" t="s">
        <v>2121</v>
      </c>
      <c r="AD48" s="846"/>
    </row>
    <row r="49" ht="54" customHeight="1">
      <c r="A49" s="845"/>
      <c r="B49" s="899">
        <v>32</v>
      </c>
      <c r="C49" s="843" t="s">
        <v>2128</v>
      </c>
      <c r="D49" s="967"/>
      <c r="E49" s="843"/>
      <c r="F49" s="843"/>
      <c r="G49" s="843"/>
      <c r="H49" s="891"/>
      <c r="I49" s="1005" t="str">
        <f>INDEX(TEMPLATE_NUMBER_POINT_FHD,B49,MATCH(TEMPLATE_SPHERE,TEMPLATE_SPHERE_LIST_FOR_NOTE,0))</f>
        <v>2.11.1</v>
      </c>
      <c r="J49" s="1005" t="str">
        <f>INDEX(TEMPLATE_DATA_POINT_FHD,B49,MATCH(TEMPLATE_SPHERE,TEMPLATE_SPHERE_LIST_FOR_NOTE,0))</f>
        <v xml:space="preserve">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5">
        <f>INDEX(TEMPLATE_NOTE_POINT_FHD,B49,MATCH(TEMPLATE_SPHERE,TEMPLATE_SPHERE_LIST_FOR_NOTE,0))</f>
        <v>0</v>
      </c>
      <c r="L49" s="844" t="str">
        <f>IF(I49=0,"",I49)</f>
        <v>2.11.1</v>
      </c>
      <c r="M49" s="844" t="str">
        <f>IF(J49=0,"",J49)</f>
        <v xml:space="preserve">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4" t="str">
        <f>IF(K49=0,"",K49)</f>
        <v/>
      </c>
      <c r="O49" s="957"/>
      <c r="P49" s="957" t="s">
        <v>2111</v>
      </c>
      <c r="Q49" s="957" t="s">
        <v>2129</v>
      </c>
      <c r="R49" s="957" t="s">
        <v>2111</v>
      </c>
      <c r="S49" s="957"/>
      <c r="T49" s="843"/>
      <c r="U49" s="843" t="s">
        <v>2124</v>
      </c>
      <c r="V49" s="843" t="s">
        <v>2124</v>
      </c>
      <c r="W49" s="843" t="s">
        <v>2124</v>
      </c>
      <c r="X49" s="843"/>
      <c r="Y49" s="1000"/>
      <c r="Z49" s="846"/>
      <c r="AA49" s="849"/>
      <c r="AB49" s="849"/>
      <c r="AC49" s="849"/>
      <c r="AD49" s="846"/>
    </row>
    <row r="50" ht="126" customHeight="1">
      <c r="A50" s="845"/>
      <c r="B50" s="899">
        <v>33</v>
      </c>
      <c r="C50" s="843">
        <v>17</v>
      </c>
      <c r="D50" s="967"/>
      <c r="E50" s="843"/>
      <c r="F50" s="843"/>
      <c r="G50" s="843"/>
      <c r="H50" s="891"/>
      <c r="I50" s="1005" t="str">
        <f>INDEX(TEMPLATE_NUMBER_POINT_FHD,B50,MATCH(TEMPLATE_SPHERE,TEMPLATE_SPHERE_LIST_FOR_NOTE,0))</f>
        <v>2.12</v>
      </c>
      <c r="J50" s="1005" t="str">
        <f>INDEX(TEMPLATE_DATA_POINT_FHD,B50,MATCH(TEMPLATE_SPHERE,TEMPLATE_SPHERE_LIST_FOR_NOTE,0))</f>
        <v xml:space="preserve">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K50" s="1005" t="str">
        <f>INDEX(TEMPLATE_NOTE_POINT_FHD,B50,MATCH(TEMPLATE_SPHERE,TEMPLATE_SPHERE_LIST_FOR_NOTE,0))</f>
        <v xml:space="preserve">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4" t="str">
        <f>IF(I50=0,"",I50)</f>
        <v>2.12</v>
      </c>
      <c r="M50" s="844" t="str">
        <f>IF(J50=0,"",J50)</f>
        <v xml:space="preserve">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N50" s="844" t="str">
        <f>IF(K50=0,"",K50)</f>
        <v xml:space="preserve">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7" t="s">
        <v>2125</v>
      </c>
      <c r="P50" s="957" t="s">
        <v>2118</v>
      </c>
      <c r="Q50" s="957" t="s">
        <v>2130</v>
      </c>
      <c r="R50" s="957" t="s">
        <v>2118</v>
      </c>
      <c r="S50" s="957"/>
      <c r="T50" s="843" t="s">
        <v>2131</v>
      </c>
      <c r="U50" s="843" t="s">
        <v>2132</v>
      </c>
      <c r="V50" s="843" t="s">
        <v>2133</v>
      </c>
      <c r="W50" s="843" t="s">
        <v>2134</v>
      </c>
      <c r="X50" s="843"/>
      <c r="Y50" s="1000"/>
      <c r="Z50" s="846" t="s">
        <v>2135</v>
      </c>
      <c r="AA50" s="849" t="s">
        <v>2136</v>
      </c>
      <c r="AB50" s="849" t="s">
        <v>2136</v>
      </c>
      <c r="AC50" s="849" t="s">
        <v>2136</v>
      </c>
      <c r="AD50" s="846"/>
    </row>
    <row r="51" ht="27" customHeight="1">
      <c r="A51" s="845"/>
      <c r="B51" s="899">
        <v>34</v>
      </c>
      <c r="C51" s="843" t="s">
        <v>2137</v>
      </c>
      <c r="D51" s="967"/>
      <c r="E51" s="843"/>
      <c r="F51" s="843"/>
      <c r="G51" s="843"/>
      <c r="H51" s="891"/>
      <c r="I51" s="1005">
        <f>INDEX(TEMPLATE_NUMBER_POINT_FHD,B51,MATCH(TEMPLATE_SPHERE,TEMPLATE_SPHERE_LIST_FOR_NOTE,0))</f>
        <v>0</v>
      </c>
      <c r="J51" s="1005">
        <f>INDEX(TEMPLATE_DATA_POINT_FHD,B51,MATCH(TEMPLATE_SPHERE,TEMPLATE_SPHERE_LIST_FOR_NOTE,0))</f>
        <v>0</v>
      </c>
      <c r="K51" s="1005">
        <f>INDEX(TEMPLATE_NOTE_POINT_FHD,B51,MATCH(TEMPLATE_SPHERE,TEMPLATE_SPHERE_LIST_FOR_NOTE,0))</f>
        <v>0</v>
      </c>
      <c r="L51" s="844" t="str">
        <f>IF(I51=0,"",I51)</f>
        <v/>
      </c>
      <c r="M51" s="844" t="str">
        <f>IF(J51=0,"",J51)</f>
        <v/>
      </c>
      <c r="N51" s="844" t="str">
        <f>IF(K51=0,"",K51)</f>
        <v/>
      </c>
      <c r="O51" s="957" t="s">
        <v>89</v>
      </c>
      <c r="P51" s="957"/>
      <c r="Q51" s="957"/>
      <c r="R51" s="957"/>
      <c r="S51" s="957"/>
      <c r="T51" s="843" t="s">
        <v>2138</v>
      </c>
      <c r="U51" s="843"/>
      <c r="V51" s="843"/>
      <c r="W51" s="843"/>
      <c r="X51" s="843"/>
      <c r="Y51" s="1000"/>
      <c r="Z51" s="846"/>
      <c r="AA51" s="849"/>
      <c r="AB51" s="849"/>
      <c r="AC51" s="849"/>
      <c r="AD51" s="846"/>
    </row>
    <row r="52" ht="36" customHeight="1">
      <c r="A52" s="845"/>
      <c r="B52" s="899">
        <v>35</v>
      </c>
      <c r="C52" s="843" t="s">
        <v>2031</v>
      </c>
      <c r="D52" s="967" t="s">
        <v>2031</v>
      </c>
      <c r="E52" s="843" t="s">
        <v>2031</v>
      </c>
      <c r="F52" s="843" t="s">
        <v>2031</v>
      </c>
      <c r="G52" s="843"/>
      <c r="H52" s="891"/>
      <c r="I52" s="1005" t="str">
        <f>INDEX(TEMPLATE_NUMBER_POINT_FHD,B52,MATCH(TEMPLATE_SPHERE,TEMPLATE_SPHERE_LIST_FOR_NOTE,0))</f>
        <v>3</v>
      </c>
      <c r="J52" s="1005" t="str">
        <f>INDEX(TEMPLATE_DATA_POINT_FHD,B52,MATCH(TEMPLATE_SPHERE,TEMPLATE_SPHERE_LIST_FOR_NOTE,0))</f>
        <v xml:space="preserve">Чистая прибыль, полученная от регулируемого вида деятельности в сфере водоотведения, в том числе:</v>
      </c>
      <c r="K52" s="1005" t="str">
        <f>INDEX(TEMPLATE_NOTE_POINT_FHD,B52,MATCH(TEMPLATE_SPHERE,TEMPLATE_SPHERE_LIST_FOR_NOTE,0))</f>
        <v xml:space="preserve">Указывается общая сумма чистой прибыли, полученной от регулируемого вида деятельности.</v>
      </c>
      <c r="L52" s="844" t="str">
        <f>IF(I52=0,"",I52)</f>
        <v>3</v>
      </c>
      <c r="M52" s="844" t="str">
        <f>IF(J52=0,"",J52)</f>
        <v xml:space="preserve">Чистая прибыль, полученная от регулируемого вида деятельности в сфере водоотведения, в том числе:</v>
      </c>
      <c r="N52" s="844" t="str">
        <f>IF(K52=0,"",K52)</f>
        <v xml:space="preserve">Указывается общая сумма чистой прибыли, полученной от регулируемого вида деятельности.</v>
      </c>
      <c r="O52" s="957" t="s">
        <v>90</v>
      </c>
      <c r="P52" s="957" t="s">
        <v>89</v>
      </c>
      <c r="Q52" s="957" t="s">
        <v>89</v>
      </c>
      <c r="R52" s="957" t="s">
        <v>89</v>
      </c>
      <c r="S52" s="957"/>
      <c r="T52" s="843" t="s">
        <v>2139</v>
      </c>
      <c r="U52" s="843" t="s">
        <v>2140</v>
      </c>
      <c r="V52" s="843" t="s">
        <v>2141</v>
      </c>
      <c r="W52" s="843" t="s">
        <v>2142</v>
      </c>
      <c r="X52" s="843"/>
      <c r="Y52" s="1000"/>
      <c r="Z52" s="846" t="s">
        <v>752</v>
      </c>
      <c r="AA52" s="849" t="s">
        <v>752</v>
      </c>
      <c r="AB52" s="849" t="s">
        <v>752</v>
      </c>
      <c r="AC52" s="849" t="s">
        <v>752</v>
      </c>
      <c r="AD52" s="846"/>
    </row>
    <row r="53" ht="36" customHeight="1">
      <c r="A53" s="845"/>
      <c r="B53" s="899">
        <v>36</v>
      </c>
      <c r="C53" s="843">
        <v>1</v>
      </c>
      <c r="D53" s="967"/>
      <c r="E53" s="843"/>
      <c r="F53" s="843"/>
      <c r="G53" s="843"/>
      <c r="H53" s="891"/>
      <c r="I53" s="1005" t="str">
        <f>INDEX(TEMPLATE_NUMBER_POINT_FHD,B53,MATCH(TEMPLATE_SPHERE,TEMPLATE_SPHERE_LIST_FOR_NOTE,0))</f>
        <v>3.1</v>
      </c>
      <c r="J53" s="1005" t="str">
        <f>INDEX(TEMPLATE_DATA_POINT_FHD,B53,MATCH(TEMPLATE_SPHERE,TEMPLATE_SPHERE_LIST_FOR_NOTE,0))</f>
        <v xml:space="preserve">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3.1</v>
      </c>
      <c r="M53" s="844" t="str">
        <f>IF(J53=0,"",J53)</f>
        <v xml:space="preserve">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756</v>
      </c>
      <c r="P53" s="957" t="s">
        <v>326</v>
      </c>
      <c r="Q53" s="957" t="s">
        <v>326</v>
      </c>
      <c r="R53" s="957" t="s">
        <v>326</v>
      </c>
      <c r="S53" s="957"/>
      <c r="T53" s="843" t="s">
        <v>2143</v>
      </c>
      <c r="U53" s="843" t="s">
        <v>2143</v>
      </c>
      <c r="V53" s="843" t="s">
        <v>2143</v>
      </c>
      <c r="W53" s="843" t="s">
        <v>2143</v>
      </c>
      <c r="X53" s="843"/>
      <c r="Y53" s="1000"/>
      <c r="Z53" s="846"/>
      <c r="AA53" s="849"/>
      <c r="AB53" s="846"/>
      <c r="AC53" s="846"/>
      <c r="AD53" s="846"/>
    </row>
    <row r="54" ht="18" customHeight="1">
      <c r="A54" s="845"/>
      <c r="B54" s="899">
        <v>37</v>
      </c>
      <c r="C54" s="843" t="s">
        <v>2037</v>
      </c>
      <c r="D54" s="967" t="s">
        <v>2037</v>
      </c>
      <c r="E54" s="843" t="s">
        <v>2037</v>
      </c>
      <c r="F54" s="843" t="s">
        <v>2037</v>
      </c>
      <c r="G54" s="843"/>
      <c r="H54" s="891"/>
      <c r="I54" s="1005" t="str">
        <f>INDEX(TEMPLATE_NUMBER_POINT_FHD,B54,MATCH(TEMPLATE_SPHERE,TEMPLATE_SPHERE_LIST_FOR_NOTE,0))</f>
        <v>4</v>
      </c>
      <c r="J54" s="1005" t="str">
        <f>INDEX(TEMPLATE_DATA_POINT_FHD,B54,MATCH(TEMPLATE_SPHERE,TEMPLATE_SPHERE_LIST_FOR_NOTE,0))</f>
        <v xml:space="preserve">Изменение стоимости основных фондов, в том числе:</v>
      </c>
      <c r="K54" s="1005" t="str">
        <f>INDEX(TEMPLATE_NOTE_POINT_FHD,B54,MATCH(TEMPLATE_SPHERE,TEMPLATE_SPHERE_LIST_FOR_NOTE,0))</f>
        <v xml:space="preserve">Указывается общее изменение стоимости основных фондов.</v>
      </c>
      <c r="L54" s="844" t="str">
        <f>IF(I54=0,"",I54)</f>
        <v>4</v>
      </c>
      <c r="M54" s="844" t="str">
        <f>IF(J54=0,"",J54)</f>
        <v xml:space="preserve">Изменение стоимости основных фондов, в том числе:</v>
      </c>
      <c r="N54" s="844" t="str">
        <f>IF(K54=0,"",K54)</f>
        <v xml:space="preserve">Указывается общее изменение стоимости основных фондов.</v>
      </c>
      <c r="O54" s="957" t="s">
        <v>111</v>
      </c>
      <c r="P54" s="957" t="s">
        <v>90</v>
      </c>
      <c r="Q54" s="957" t="s">
        <v>90</v>
      </c>
      <c r="R54" s="957" t="s">
        <v>90</v>
      </c>
      <c r="S54" s="957"/>
      <c r="T54" s="843" t="s">
        <v>754</v>
      </c>
      <c r="U54" s="843" t="s">
        <v>754</v>
      </c>
      <c r="V54" s="843" t="s">
        <v>754</v>
      </c>
      <c r="W54" s="843" t="s">
        <v>754</v>
      </c>
      <c r="X54" s="843"/>
      <c r="Y54" s="1000"/>
      <c r="Z54" s="846" t="s">
        <v>755</v>
      </c>
      <c r="AA54" s="846" t="s">
        <v>755</v>
      </c>
      <c r="AB54" s="846" t="s">
        <v>755</v>
      </c>
      <c r="AC54" s="846" t="s">
        <v>755</v>
      </c>
      <c r="AD54" s="846"/>
    </row>
    <row r="55" ht="36" customHeight="1">
      <c r="A55" s="845"/>
      <c r="B55" s="899">
        <v>38</v>
      </c>
      <c r="C55" s="843">
        <v>1</v>
      </c>
      <c r="D55" s="967"/>
      <c r="E55" s="843"/>
      <c r="F55" s="843"/>
      <c r="G55" s="843"/>
      <c r="H55" s="891"/>
      <c r="I55" s="1005" t="str">
        <f>INDEX(TEMPLATE_NUMBER_POINT_FHD,B55,MATCH(TEMPLATE_SPHERE,TEMPLATE_SPHERE_LIST_FOR_NOTE,0))</f>
        <v>4.1</v>
      </c>
      <c r="J55" s="1005" t="str">
        <f>INDEX(TEMPLATE_DATA_POINT_FHD,B55,MATCH(TEMPLATE_SPHERE,TEMPLATE_SPHERE_LIST_FOR_NOTE,0))</f>
        <v xml:space="preserve">Изменение стоимости основных фондов за счет их ввода в эксплуатацию (вывода из эксплуатации)</v>
      </c>
      <c r="K55" s="1005" t="str">
        <f>INDEX(TEMPLATE_NOTE_POINT_FHD,B55,MATCH(TEMPLATE_SPHERE,TEMPLATE_SPHERE_LIST_FOR_NOTE,0))</f>
        <v xml:space="preserve">Указываются общее изменение стоимости основных фондов за счет их ввода в эксплуатацию и вывода из эксплуатации.</v>
      </c>
      <c r="L55" s="844" t="str">
        <f>IF(I55=0,"",I55)</f>
        <v>4.1</v>
      </c>
      <c r="M55" s="844" t="str">
        <f>IF(J55=0,"",J55)</f>
        <v xml:space="preserve">Изменение стоимости основных фондов за счет их ввода в эксплуатацию (вывода из эксплуатации)</v>
      </c>
      <c r="N55" s="844" t="str">
        <f>IF(K55=0,"",K55)</f>
        <v xml:space="preserve">Указываются общее изменение стоимости основных фондов за счет их ввода в эксплуатацию и вывода из эксплуатации.</v>
      </c>
      <c r="O55" s="957" t="s">
        <v>315</v>
      </c>
      <c r="P55" s="957" t="s">
        <v>756</v>
      </c>
      <c r="Q55" s="957" t="s">
        <v>756</v>
      </c>
      <c r="R55" s="957" t="s">
        <v>756</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 xml:space="preserve">за счет их ввода в эксплуатацию (вывода из эксплуатации)</v>
      </c>
      <c r="U55" s="843" t="s">
        <v>2144</v>
      </c>
      <c r="V55" s="843" t="s">
        <v>2144</v>
      </c>
      <c r="W55" s="843" t="s">
        <v>2144</v>
      </c>
      <c r="X55" s="843"/>
      <c r="Y55" s="1000"/>
      <c r="Z55" s="846" t="s">
        <v>2145</v>
      </c>
      <c r="AA55" s="846" t="s">
        <v>2145</v>
      </c>
      <c r="AB55" s="846" t="s">
        <v>2145</v>
      </c>
      <c r="AC55" s="846" t="s">
        <v>2145</v>
      </c>
      <c r="AD55" s="846"/>
    </row>
    <row r="56" ht="27" customHeight="1">
      <c r="A56" s="845"/>
      <c r="B56" s="899">
        <v>39</v>
      </c>
      <c r="C56" s="843" t="s">
        <v>1024</v>
      </c>
      <c r="D56" s="967"/>
      <c r="E56" s="843"/>
      <c r="F56" s="843"/>
      <c r="G56" s="843"/>
      <c r="H56" s="891"/>
      <c r="I56" s="1005" t="str">
        <f>INDEX(TEMPLATE_NUMBER_POINT_FHD,B56,MATCH(TEMPLATE_SPHERE,TEMPLATE_SPHERE_LIST_FOR_NOTE,0))</f>
        <v>4.1.1</v>
      </c>
      <c r="J56" s="1005" t="str">
        <f>INDEX(TEMPLATE_DATA_POINT_FHD,B56,MATCH(TEMPLATE_SPHERE,TEMPLATE_SPHERE_LIST_FOR_NOTE,0))</f>
        <v xml:space="preserve">Изменение стоимости основных фондов за счет их ввода в эксплуатацию</v>
      </c>
      <c r="K56" s="1005" t="str">
        <f>INDEX(TEMPLATE_NOTE_POINT_FHD,B56,MATCH(TEMPLATE_SPHERE,TEMPLATE_SPHERE_LIST_FOR_NOTE,0))</f>
        <v xml:space="preserve">Указываются изменение стоимости основных фондов за счет их ввода в эксплуатацию.</v>
      </c>
      <c r="L56" s="844" t="str">
        <f>IF(I56=0,"",I56)</f>
        <v>4.1.1</v>
      </c>
      <c r="M56" s="844" t="str">
        <f>IF(J56=0,"",J56)</f>
        <v xml:space="preserve">Изменение стоимости основных фондов за счет их ввода в эксплуатацию</v>
      </c>
      <c r="N56" s="844" t="str">
        <f>IF(K56=0,"",K56)</f>
        <v xml:space="preserve">Указываются изменение стоимости основных фондов за счет их ввода в эксплуатацию.</v>
      </c>
      <c r="O56" s="957" t="s">
        <v>1142</v>
      </c>
      <c r="P56" s="957" t="s">
        <v>759</v>
      </c>
      <c r="Q56" s="957" t="s">
        <v>759</v>
      </c>
      <c r="R56" s="957" t="s">
        <v>759</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 xml:space="preserve">за счет их ввода в эксплуатацию</v>
      </c>
      <c r="U56" s="843" t="s">
        <v>2146</v>
      </c>
      <c r="V56" s="843" t="s">
        <v>2146</v>
      </c>
      <c r="W56" s="843" t="s">
        <v>2146</v>
      </c>
      <c r="X56" s="843"/>
      <c r="Y56" s="1000"/>
      <c r="Z56" s="846" t="s">
        <v>761</v>
      </c>
      <c r="AA56" s="846" t="s">
        <v>761</v>
      </c>
      <c r="AB56" s="846" t="s">
        <v>761</v>
      </c>
      <c r="AC56" s="846" t="s">
        <v>761</v>
      </c>
      <c r="AD56" s="846"/>
    </row>
    <row r="57" ht="27" customHeight="1">
      <c r="A57" s="845"/>
      <c r="B57" s="899">
        <v>40</v>
      </c>
      <c r="C57" s="843" t="s">
        <v>1026</v>
      </c>
      <c r="D57" s="967"/>
      <c r="E57" s="843"/>
      <c r="F57" s="843"/>
      <c r="G57" s="843"/>
      <c r="H57" s="891"/>
      <c r="I57" s="1005" t="str">
        <f>INDEX(TEMPLATE_NUMBER_POINT_FHD,B57,MATCH(TEMPLATE_SPHERE,TEMPLATE_SPHERE_LIST_FOR_NOTE,0))</f>
        <v>4.1.2</v>
      </c>
      <c r="J57" s="1005" t="str">
        <f>INDEX(TEMPLATE_DATA_POINT_FHD,B57,MATCH(TEMPLATE_SPHERE,TEMPLATE_SPHERE_LIST_FOR_NOTE,0))</f>
        <v xml:space="preserve">Изменение стоимости основных фондов за счет их вывода в эксплуатацию</v>
      </c>
      <c r="K57" s="1005" t="str">
        <f>INDEX(TEMPLATE_NOTE_POINT_FHD,B57,MATCH(TEMPLATE_SPHERE,TEMPLATE_SPHERE_LIST_FOR_NOTE,0))</f>
        <v xml:space="preserve">Указываются изменение стоимости основных фондов за счет их вывода из эксплуатации.</v>
      </c>
      <c r="L57" s="844" t="str">
        <f>IF(I57=0,"",I57)</f>
        <v>4.1.2</v>
      </c>
      <c r="M57" s="844" t="str">
        <f>IF(J57=0,"",J57)</f>
        <v xml:space="preserve">Изменение стоимости основных фондов за счет их вывода в эксплуатацию</v>
      </c>
      <c r="N57" s="844" t="str">
        <f>IF(K57=0,"",K57)</f>
        <v xml:space="preserve">Указываются изменение стоимости основных фондов за счет их вывода из эксплуатации.</v>
      </c>
      <c r="O57" s="957" t="s">
        <v>2147</v>
      </c>
      <c r="P57" s="957" t="s">
        <v>762</v>
      </c>
      <c r="Q57" s="957" t="s">
        <v>762</v>
      </c>
      <c r="R57" s="957" t="s">
        <v>762</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 xml:space="preserve">за счет их вывода в эксплуатацию</v>
      </c>
      <c r="U57" s="843" t="s">
        <v>2148</v>
      </c>
      <c r="V57" s="843" t="s">
        <v>2148</v>
      </c>
      <c r="W57" s="843" t="s">
        <v>2148</v>
      </c>
      <c r="X57" s="843"/>
      <c r="Y57" s="1000"/>
      <c r="Z57" s="846" t="s">
        <v>764</v>
      </c>
      <c r="AA57" s="846" t="s">
        <v>764</v>
      </c>
      <c r="AB57" s="846" t="s">
        <v>764</v>
      </c>
      <c r="AC57" s="846" t="s">
        <v>764</v>
      </c>
      <c r="AD57" s="846"/>
    </row>
    <row r="58" ht="18" customHeight="1">
      <c r="A58" s="845"/>
      <c r="B58" s="899">
        <v>41</v>
      </c>
      <c r="C58" s="843">
        <v>2</v>
      </c>
      <c r="D58" s="967"/>
      <c r="E58" s="843"/>
      <c r="F58" s="843"/>
      <c r="G58" s="843"/>
      <c r="H58" s="891"/>
      <c r="I58" s="1005" t="str">
        <f>INDEX(TEMPLATE_NUMBER_POINT_FHD,B58,MATCH(TEMPLATE_SPHERE,TEMPLATE_SPHERE_LIST_FOR_NOTE,0))</f>
        <v>4.2</v>
      </c>
      <c r="J58" s="1005" t="str">
        <f>INDEX(TEMPLATE_DATA_POINT_FHD,B58,MATCH(TEMPLATE_SPHERE,TEMPLATE_SPHERE_LIST_FOR_NOTE,0))</f>
        <v xml:space="preserve">Изменение стоимости основных фондов за счет их переоценки</v>
      </c>
      <c r="K58" s="1005">
        <f>INDEX(TEMPLATE_NOTE_POINT_FHD,B58,MATCH(TEMPLATE_SPHERE,TEMPLATE_SPHERE_LIST_FOR_NOTE,0))</f>
        <v>0</v>
      </c>
      <c r="L58" s="844" t="str">
        <f>IF(I58=0,"",I58)</f>
        <v>4.2</v>
      </c>
      <c r="M58" s="844" t="str">
        <f>IF(J58=0,"",J58)</f>
        <v xml:space="preserve">Изменение стоимости основных фондов за счет их переоценки</v>
      </c>
      <c r="N58" s="844" t="str">
        <f>IF(K58=0,"",K58)</f>
        <v/>
      </c>
      <c r="O58" s="957" t="s">
        <v>884</v>
      </c>
      <c r="P58" s="957" t="s">
        <v>798</v>
      </c>
      <c r="Q58" s="957" t="s">
        <v>798</v>
      </c>
      <c r="R58" s="957" t="s">
        <v>798</v>
      </c>
      <c r="S58" s="957"/>
      <c r="T58" s="844" t="str">
        <f>IF(TITLE_TYPE_ORG="Регулируемая организация","Изменение стоимости основных фондов за счет их переоценки","за счет их переоценки")</f>
        <v xml:space="preserve">за счет их переоценки</v>
      </c>
      <c r="U58" s="843" t="s">
        <v>2149</v>
      </c>
      <c r="V58" s="843" t="s">
        <v>2149</v>
      </c>
      <c r="W58" s="843" t="s">
        <v>2149</v>
      </c>
      <c r="X58" s="843"/>
      <c r="Y58" s="1000"/>
      <c r="Z58" s="846"/>
      <c r="AA58" s="849"/>
      <c r="AB58" s="846"/>
      <c r="AC58" s="846"/>
      <c r="AD58" s="846"/>
    </row>
    <row r="59" ht="36" customHeight="1">
      <c r="A59" s="845"/>
      <c r="B59" s="899">
        <v>42</v>
      </c>
      <c r="C59" s="843">
        <v>3</v>
      </c>
      <c r="D59" s="967" t="s">
        <v>2137</v>
      </c>
      <c r="E59" s="843" t="s">
        <v>2137</v>
      </c>
      <c r="F59" s="843" t="s">
        <v>2137</v>
      </c>
      <c r="G59" s="843"/>
      <c r="H59" s="891"/>
      <c r="I59" s="1005" t="str">
        <f>INDEX(TEMPLATE_NUMBER_POINT_FHD,B59,MATCH(TEMPLATE_SPHERE,TEMPLATE_SPHERE_LIST_FOR_NOTE,0))</f>
        <v>5</v>
      </c>
      <c r="J59" s="1005" t="str">
        <f>INDEX(TEMPLATE_DATA_POINT_FHD,B59,MATCH(TEMPLATE_SPHERE,TEMPLATE_SPHERE_LIST_FOR_NOTE,0))</f>
        <v xml:space="preserve">Валовая прибыль (убытки) от продажи товаров и услуг по регулируемым видам деятельности в сфере водоотведения</v>
      </c>
      <c r="K59" s="1005">
        <f>INDEX(TEMPLATE_NOTE_POINT_FHD,B59,MATCH(TEMPLATE_SPHERE,TEMPLATE_SPHERE_LIST_FOR_NOTE,0))</f>
        <v>0</v>
      </c>
      <c r="L59" s="844" t="str">
        <f>IF(I59=0,"",I59)</f>
        <v>5</v>
      </c>
      <c r="M59" s="844" t="str">
        <f>IF(J59=0,"",J59)</f>
        <v xml:space="preserve">Валовая прибыль (убытки) от продажи товаров и услуг по регулируемым видам деятельности в сфере водоотведения</v>
      </c>
      <c r="N59" s="844" t="str">
        <f>IF(K59=0,"",K59)</f>
        <v/>
      </c>
      <c r="O59" s="957"/>
      <c r="P59" s="957" t="s">
        <v>111</v>
      </c>
      <c r="Q59" s="957" t="s">
        <v>111</v>
      </c>
      <c r="R59" s="957" t="s">
        <v>111</v>
      </c>
      <c r="S59" s="957"/>
      <c r="T59" s="843"/>
      <c r="U59" s="843" t="s">
        <v>2150</v>
      </c>
      <c r="V59" s="843" t="s">
        <v>2151</v>
      </c>
      <c r="W59" s="843" t="s">
        <v>2152</v>
      </c>
      <c r="X59" s="843"/>
      <c r="Y59" s="1000"/>
      <c r="Z59" s="846"/>
      <c r="AA59" s="849"/>
      <c r="AB59" s="846"/>
      <c r="AC59" s="846"/>
      <c r="AD59" s="846"/>
    </row>
    <row r="60" ht="81" customHeight="1">
      <c r="A60" s="845"/>
      <c r="B60" s="899">
        <v>43</v>
      </c>
      <c r="C60" s="843" t="s">
        <v>2153</v>
      </c>
      <c r="D60" s="967" t="s">
        <v>2153</v>
      </c>
      <c r="E60" s="843" t="s">
        <v>2153</v>
      </c>
      <c r="F60" s="843" t="s">
        <v>2153</v>
      </c>
      <c r="G60" s="843"/>
      <c r="H60" s="891"/>
      <c r="I60" s="1005" t="str">
        <f>INDEX(TEMPLATE_NUMBER_POINT_FHD,B60,MATCH(TEMPLATE_SPHERE,TEMPLATE_SPHERE_LIST_FOR_NOTE,0))</f>
        <v>6</v>
      </c>
      <c r="J60" s="1005" t="str">
        <f>INDEX(TEMPLATE_DATA_POINT_FHD,B60,MATCH(TEMPLATE_SPHERE,TEMPLATE_SPHERE_LIST_FOR_NOTE,0))</f>
        <v xml:space="preserve">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 xml:space="preserve">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44" t="str">
        <f>IF(I60=0,"",I60)</f>
        <v>6</v>
      </c>
      <c r="M60" s="844" t="str">
        <f>IF(J60=0,"",J60)</f>
        <v xml:space="preserve">Годовая бухгалтерская (финансовая) отчетность, включая бухгалтерский баланс и приложения к нему</v>
      </c>
      <c r="N60" s="844" t="str">
        <f>IF(K60=0,"",K60)</f>
        <v xml:space="preserve">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57" t="s">
        <v>91</v>
      </c>
      <c r="P60" s="957" t="s">
        <v>91</v>
      </c>
      <c r="Q60" s="957" t="s">
        <v>91</v>
      </c>
      <c r="R60" s="957" t="s">
        <v>91</v>
      </c>
      <c r="S60" s="957"/>
      <c r="T60" s="843" t="s">
        <v>632</v>
      </c>
      <c r="U60" s="843" t="s">
        <v>632</v>
      </c>
      <c r="V60" s="843" t="s">
        <v>632</v>
      </c>
      <c r="W60" s="843" t="s">
        <v>632</v>
      </c>
      <c r="X60" s="843"/>
      <c r="Y60" s="1000"/>
      <c r="Z60" s="846" t="s">
        <v>2154</v>
      </c>
      <c r="AA60" s="849" t="s">
        <v>2155</v>
      </c>
      <c r="AB60" s="846" t="s">
        <v>2156</v>
      </c>
      <c r="AC60" s="846" t="s">
        <v>2155</v>
      </c>
      <c r="AD60" s="846"/>
    </row>
    <row r="61" ht="9" customHeight="1">
      <c r="A61" s="845"/>
      <c r="B61" s="899">
        <v>44</v>
      </c>
      <c r="C61" s="843"/>
      <c r="D61" s="967" t="s">
        <v>2157</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92</v>
      </c>
      <c r="Q61" s="957"/>
      <c r="R61" s="957"/>
      <c r="S61" s="957"/>
      <c r="T61" s="843"/>
      <c r="U61" s="843" t="s">
        <v>2158</v>
      </c>
      <c r="V61" s="843"/>
      <c r="W61" s="843"/>
      <c r="X61" s="843"/>
      <c r="Y61" s="1000"/>
      <c r="Z61" s="846"/>
      <c r="AA61" s="849"/>
      <c r="AB61" s="846"/>
      <c r="AC61" s="846"/>
      <c r="AD61" s="846"/>
    </row>
    <row r="62" ht="9" customHeight="1">
      <c r="A62" s="845"/>
      <c r="B62" s="899">
        <v>45</v>
      </c>
      <c r="C62" s="843"/>
      <c r="D62" s="967" t="s">
        <v>2159</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112</v>
      </c>
      <c r="Q62" s="957"/>
      <c r="R62" s="957"/>
      <c r="S62" s="957"/>
      <c r="T62" s="843"/>
      <c r="U62" s="843" t="s">
        <v>2160</v>
      </c>
      <c r="V62" s="843"/>
      <c r="W62" s="843"/>
      <c r="X62" s="843"/>
      <c r="Y62" s="1000"/>
      <c r="Z62" s="846"/>
      <c r="AA62" s="849"/>
      <c r="AB62" s="846"/>
      <c r="AC62" s="846"/>
      <c r="AD62" s="846"/>
    </row>
    <row r="63" ht="18" customHeight="1">
      <c r="A63" s="845"/>
      <c r="B63" s="899">
        <v>46</v>
      </c>
      <c r="C63" s="843"/>
      <c r="D63" s="967" t="s">
        <v>2161</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152</v>
      </c>
      <c r="Q63" s="957"/>
      <c r="R63" s="957"/>
      <c r="S63" s="957"/>
      <c r="T63" s="843"/>
      <c r="U63" s="843" t="s">
        <v>2162</v>
      </c>
      <c r="V63" s="843"/>
      <c r="W63" s="843"/>
      <c r="X63" s="843"/>
      <c r="Y63" s="1000"/>
      <c r="Z63" s="846"/>
      <c r="AA63" s="849"/>
      <c r="AB63" s="846"/>
      <c r="AC63" s="846"/>
      <c r="AD63" s="846"/>
    </row>
    <row r="64" ht="18" customHeight="1">
      <c r="A64" s="845"/>
      <c r="B64" s="899">
        <v>47</v>
      </c>
      <c r="C64" s="843"/>
      <c r="D64" s="967" t="s">
        <v>2163</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153</v>
      </c>
      <c r="Q64" s="957"/>
      <c r="R64" s="957"/>
      <c r="S64" s="957"/>
      <c r="T64" s="843"/>
      <c r="U64" s="843" t="s">
        <v>2164</v>
      </c>
      <c r="V64" s="843"/>
      <c r="W64" s="843"/>
      <c r="X64" s="843"/>
      <c r="Y64" s="1000"/>
      <c r="Z64" s="846"/>
      <c r="AA64" s="849" t="s">
        <v>2165</v>
      </c>
      <c r="AB64" s="846"/>
      <c r="AC64" s="846"/>
      <c r="AD64" s="846"/>
    </row>
    <row r="65" ht="18" customHeight="1">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2078</v>
      </c>
      <c r="Q65" s="957"/>
      <c r="R65" s="957"/>
      <c r="S65" s="957"/>
      <c r="T65" s="843"/>
      <c r="U65" s="843" t="s">
        <v>2166</v>
      </c>
      <c r="V65" s="843"/>
      <c r="W65" s="843"/>
      <c r="X65" s="843"/>
      <c r="Y65" s="1000"/>
      <c r="Z65" s="846"/>
      <c r="AA65" s="849"/>
      <c r="AB65" s="846"/>
      <c r="AC65" s="846"/>
      <c r="AD65" s="846"/>
    </row>
    <row r="66" ht="18" customHeight="1">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2082</v>
      </c>
      <c r="Q66" s="957"/>
      <c r="R66" s="957"/>
      <c r="S66" s="957"/>
      <c r="T66" s="843"/>
      <c r="U66" s="843" t="s">
        <v>2167</v>
      </c>
      <c r="V66" s="843"/>
      <c r="W66" s="843"/>
      <c r="X66" s="843"/>
      <c r="Y66" s="1000"/>
      <c r="Z66" s="846"/>
      <c r="AA66" s="849"/>
      <c r="AB66" s="846"/>
      <c r="AC66" s="846"/>
      <c r="AD66" s="846"/>
    </row>
    <row r="67" ht="27" customHeight="1">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2168</v>
      </c>
      <c r="Q67" s="957"/>
      <c r="R67" s="957"/>
      <c r="S67" s="957"/>
      <c r="T67" s="843"/>
      <c r="U67" s="843" t="s">
        <v>2169</v>
      </c>
      <c r="V67" s="843"/>
      <c r="W67" s="843"/>
      <c r="X67" s="843"/>
      <c r="Y67" s="1000"/>
      <c r="Z67" s="846"/>
      <c r="AA67" s="849"/>
      <c r="AB67" s="846"/>
      <c r="AC67" s="846"/>
      <c r="AD67" s="846"/>
    </row>
    <row r="68" ht="27" customHeight="1">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2170</v>
      </c>
      <c r="Q68" s="957"/>
      <c r="R68" s="957"/>
      <c r="S68" s="957"/>
      <c r="T68" s="843"/>
      <c r="U68" s="843" t="s">
        <v>2171</v>
      </c>
      <c r="V68" s="843"/>
      <c r="W68" s="843"/>
      <c r="X68" s="843"/>
      <c r="Y68" s="1000"/>
      <c r="Z68" s="846"/>
      <c r="AA68" s="849"/>
      <c r="AB68" s="846"/>
      <c r="AC68" s="846"/>
      <c r="AD68" s="846"/>
    </row>
    <row r="69" ht="9" customHeight="1">
      <c r="A69" s="845"/>
      <c r="B69" s="899">
        <v>52</v>
      </c>
      <c r="C69" s="843"/>
      <c r="D69" s="967" t="s">
        <v>2172</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154</v>
      </c>
      <c r="Q69" s="957"/>
      <c r="R69" s="957"/>
      <c r="S69" s="957"/>
      <c r="T69" s="843"/>
      <c r="U69" s="843" t="s">
        <v>2173</v>
      </c>
      <c r="V69" s="843"/>
      <c r="W69" s="843"/>
      <c r="X69" s="843"/>
      <c r="Y69" s="1000"/>
      <c r="Z69" s="846"/>
      <c r="AA69" s="849"/>
      <c r="AB69" s="846"/>
      <c r="AC69" s="846"/>
      <c r="AD69" s="846"/>
    </row>
    <row r="70" ht="27" customHeight="1">
      <c r="A70" s="845"/>
      <c r="B70" s="899">
        <v>53</v>
      </c>
      <c r="C70" s="843"/>
      <c r="D70" s="967"/>
      <c r="E70" s="843" t="s">
        <v>2157</v>
      </c>
      <c r="F70" s="843"/>
      <c r="G70" s="843"/>
      <c r="H70" s="891"/>
      <c r="I70" s="1005">
        <f>INDEX(TEMPLATE_NUMBER_POINT_FHD,B70,MATCH(TEMPLATE_SPHERE,TEMPLATE_SPHERE_LIST_FOR_NOTE,0))</f>
        <v>0</v>
      </c>
      <c r="J70" s="1005">
        <f>INDEX(TEMPLATE_DATA_POINT_FHD,B70,MATCH(TEMPLATE_SPHERE,TEMPLATE_SPHERE_LIST_FOR_NOTE,0))</f>
        <v>0</v>
      </c>
      <c r="K70" s="1005">
        <f>INDEX(TEMPLATE_NOTE_POINT_FHD,B70,MATCH(TEMPLATE_SPHERE,TEMPLATE_SPHERE_LIST_FOR_NOTE,0))</f>
        <v>0</v>
      </c>
      <c r="L70" s="844" t="str">
        <f>IF(I70=0,"",I70)</f>
        <v/>
      </c>
      <c r="M70" s="844" t="str">
        <f>IF(J70=0,"",J70)</f>
        <v/>
      </c>
      <c r="N70" s="844" t="str">
        <f>IF(K70=0,"",K70)</f>
        <v/>
      </c>
      <c r="O70" s="957"/>
      <c r="P70" s="957"/>
      <c r="Q70" s="957" t="s">
        <v>92</v>
      </c>
      <c r="R70" s="957"/>
      <c r="S70" s="957"/>
      <c r="T70" s="843"/>
      <c r="U70" s="843"/>
      <c r="V70" s="843" t="s">
        <v>2174</v>
      </c>
      <c r="W70" s="843"/>
      <c r="X70" s="843"/>
      <c r="Y70" s="1000"/>
      <c r="Z70" s="846"/>
      <c r="AA70" s="849"/>
      <c r="AB70" s="846"/>
      <c r="AC70" s="846"/>
      <c r="AD70" s="846"/>
    </row>
    <row r="71" ht="36" customHeight="1">
      <c r="A71" s="845"/>
      <c r="B71" s="899">
        <v>54</v>
      </c>
      <c r="C71" s="843"/>
      <c r="D71" s="967"/>
      <c r="E71" s="843" t="s">
        <v>2159</v>
      </c>
      <c r="F71" s="843"/>
      <c r="G71" s="843"/>
      <c r="H71" s="891"/>
      <c r="I71" s="1005">
        <f>INDEX(TEMPLATE_NUMBER_POINT_FHD,B71,MATCH(TEMPLATE_SPHERE,TEMPLATE_SPHERE_LIST_FOR_NOTE,0))</f>
        <v>0</v>
      </c>
      <c r="J71" s="1005">
        <f>INDEX(TEMPLATE_DATA_POINT_FHD,B71,MATCH(TEMPLATE_SPHERE,TEMPLATE_SPHERE_LIST_FOR_NOTE,0))</f>
        <v>0</v>
      </c>
      <c r="K71" s="1005">
        <f>INDEX(TEMPLATE_NOTE_POINT_FHD,B71,MATCH(TEMPLATE_SPHERE,TEMPLATE_SPHERE_LIST_FOR_NOTE,0))</f>
        <v>0</v>
      </c>
      <c r="L71" s="844" t="str">
        <f>IF(I71=0,"",I71)</f>
        <v/>
      </c>
      <c r="M71" s="844" t="str">
        <f>IF(J71=0,"",J71)</f>
        <v/>
      </c>
      <c r="N71" s="844" t="str">
        <f>IF(K71=0,"",K71)</f>
        <v/>
      </c>
      <c r="O71" s="957"/>
      <c r="P71" s="957"/>
      <c r="Q71" s="957" t="s">
        <v>112</v>
      </c>
      <c r="R71" s="957"/>
      <c r="S71" s="957"/>
      <c r="T71" s="843"/>
      <c r="U71" s="843"/>
      <c r="V71" s="843" t="s">
        <v>2175</v>
      </c>
      <c r="W71" s="843"/>
      <c r="X71" s="843"/>
      <c r="Y71" s="1000"/>
      <c r="Z71" s="846"/>
      <c r="AA71" s="849"/>
      <c r="AB71" s="846"/>
      <c r="AC71" s="846"/>
      <c r="AD71" s="846"/>
    </row>
    <row r="72" ht="27" customHeight="1">
      <c r="A72" s="845"/>
      <c r="B72" s="899">
        <v>55</v>
      </c>
      <c r="C72" s="843"/>
      <c r="D72" s="967"/>
      <c r="E72" s="843" t="s">
        <v>2161</v>
      </c>
      <c r="F72" s="843"/>
      <c r="G72" s="843"/>
      <c r="H72" s="891"/>
      <c r="I72" s="1005">
        <f>INDEX(TEMPLATE_NUMBER_POINT_FHD,B72,MATCH(TEMPLATE_SPHERE,TEMPLATE_SPHERE_LIST_FOR_NOTE,0))</f>
        <v>0</v>
      </c>
      <c r="J72" s="1005">
        <f>INDEX(TEMPLATE_DATA_POINT_FHD,B72,MATCH(TEMPLATE_SPHERE,TEMPLATE_SPHERE_LIST_FOR_NOTE,0))</f>
        <v>0</v>
      </c>
      <c r="K72" s="1005">
        <f>INDEX(TEMPLATE_NOTE_POINT_FHD,B72,MATCH(TEMPLATE_SPHERE,TEMPLATE_SPHERE_LIST_FOR_NOTE,0))</f>
        <v>0</v>
      </c>
      <c r="L72" s="844" t="str">
        <f>IF(I72=0,"",I72)</f>
        <v/>
      </c>
      <c r="M72" s="844" t="str">
        <f>IF(J72=0,"",J72)</f>
        <v/>
      </c>
      <c r="N72" s="844" t="str">
        <f>IF(K72=0,"",K72)</f>
        <v/>
      </c>
      <c r="O72" s="957"/>
      <c r="P72" s="957"/>
      <c r="Q72" s="957" t="s">
        <v>152</v>
      </c>
      <c r="R72" s="957"/>
      <c r="S72" s="957"/>
      <c r="T72" s="843"/>
      <c r="U72" s="843"/>
      <c r="V72" s="843" t="s">
        <v>2176</v>
      </c>
      <c r="W72" s="843"/>
      <c r="X72" s="843"/>
      <c r="Y72" s="1000"/>
      <c r="Z72" s="846"/>
      <c r="AA72" s="849"/>
      <c r="AB72" s="846"/>
      <c r="AC72" s="846"/>
      <c r="AD72" s="846"/>
    </row>
    <row r="73" ht="36" customHeight="1">
      <c r="A73" s="845"/>
      <c r="B73" s="899">
        <v>56</v>
      </c>
      <c r="C73" s="843"/>
      <c r="D73" s="967"/>
      <c r="E73" s="843" t="s">
        <v>2163</v>
      </c>
      <c r="F73" s="843"/>
      <c r="G73" s="843"/>
      <c r="H73" s="891"/>
      <c r="I73" s="1005">
        <f>INDEX(TEMPLATE_NUMBER_POINT_FHD,B73,MATCH(TEMPLATE_SPHERE,TEMPLATE_SPHERE_LIST_FOR_NOTE,0))</f>
        <v>0</v>
      </c>
      <c r="J73" s="1005">
        <f>INDEX(TEMPLATE_DATA_POINT_FHD,B73,MATCH(TEMPLATE_SPHERE,TEMPLATE_SPHERE_LIST_FOR_NOTE,0))</f>
        <v>0</v>
      </c>
      <c r="K73" s="1005">
        <f>INDEX(TEMPLATE_NOTE_POINT_FHD,B73,MATCH(TEMPLATE_SPHERE,TEMPLATE_SPHERE_LIST_FOR_NOTE,0))</f>
        <v>0</v>
      </c>
      <c r="L73" s="844" t="str">
        <f>IF(I73=0,"",I73)</f>
        <v/>
      </c>
      <c r="M73" s="844" t="str">
        <f>IF(J73=0,"",J73)</f>
        <v/>
      </c>
      <c r="N73" s="844" t="str">
        <f>IF(K73=0,"",K73)</f>
        <v/>
      </c>
      <c r="O73" s="957"/>
      <c r="P73" s="957"/>
      <c r="Q73" s="957" t="s">
        <v>153</v>
      </c>
      <c r="R73" s="957"/>
      <c r="S73" s="957"/>
      <c r="T73" s="843"/>
      <c r="U73" s="843"/>
      <c r="V73" s="843" t="s">
        <v>2177</v>
      </c>
      <c r="W73" s="843"/>
      <c r="X73" s="843"/>
      <c r="Y73" s="1000"/>
      <c r="Z73" s="846"/>
      <c r="AA73" s="849"/>
      <c r="AB73" s="846"/>
      <c r="AC73" s="846"/>
      <c r="AD73" s="846"/>
    </row>
    <row r="74" ht="18" customHeight="1">
      <c r="A74" s="845"/>
      <c r="B74" s="899">
        <v>57</v>
      </c>
      <c r="C74" s="843"/>
      <c r="D74" s="967"/>
      <c r="E74" s="843" t="s">
        <v>2172</v>
      </c>
      <c r="F74" s="843"/>
      <c r="G74" s="843"/>
      <c r="H74" s="891"/>
      <c r="I74" s="1005">
        <f>INDEX(TEMPLATE_NUMBER_POINT_FHD,B74,MATCH(TEMPLATE_SPHERE,TEMPLATE_SPHERE_LIST_FOR_NOTE,0))</f>
        <v>0</v>
      </c>
      <c r="J74" s="1005">
        <f>INDEX(TEMPLATE_DATA_POINT_FHD,B74,MATCH(TEMPLATE_SPHERE,TEMPLATE_SPHERE_LIST_FOR_NOTE,0))</f>
        <v>0</v>
      </c>
      <c r="K74" s="1005">
        <f>INDEX(TEMPLATE_NOTE_POINT_FHD,B74,MATCH(TEMPLATE_SPHERE,TEMPLATE_SPHERE_LIST_FOR_NOTE,0))</f>
        <v>0</v>
      </c>
      <c r="L74" s="844" t="str">
        <f>IF(I74=0,"",I74)</f>
        <v/>
      </c>
      <c r="M74" s="844" t="str">
        <f>IF(J74=0,"",J74)</f>
        <v/>
      </c>
      <c r="N74" s="844" t="str">
        <f>IF(K74=0,"",K74)</f>
        <v/>
      </c>
      <c r="O74" s="957"/>
      <c r="P74" s="957"/>
      <c r="Q74" s="957" t="s">
        <v>154</v>
      </c>
      <c r="R74" s="957"/>
      <c r="S74" s="957"/>
      <c r="T74" s="843"/>
      <c r="U74" s="843"/>
      <c r="V74" s="843" t="s">
        <v>2178</v>
      </c>
      <c r="W74" s="843"/>
      <c r="X74" s="843"/>
      <c r="Y74" s="1000"/>
      <c r="Z74" s="846"/>
      <c r="AA74" s="849"/>
      <c r="AB74" s="846"/>
      <c r="AC74" s="846"/>
      <c r="AD74" s="846"/>
    </row>
    <row r="75" ht="18" customHeight="1">
      <c r="A75" s="845"/>
      <c r="B75" s="899">
        <v>58</v>
      </c>
      <c r="C75" s="843"/>
      <c r="D75" s="967"/>
      <c r="E75" s="843"/>
      <c r="F75" s="843" t="s">
        <v>2157</v>
      </c>
      <c r="G75" s="843"/>
      <c r="H75" s="891"/>
      <c r="I75" s="1005" t="str">
        <f>INDEX(TEMPLATE_NUMBER_POINT_FHD,B75,MATCH(TEMPLATE_SPHERE,TEMPLATE_SPHERE_LIST_FOR_NOTE,0))</f>
        <v>7</v>
      </c>
      <c r="J75" s="1005" t="str">
        <f>INDEX(TEMPLATE_DATA_POINT_FHD,B75,MATCH(TEMPLATE_SPHERE,TEMPLATE_SPHERE_LIST_FOR_NOTE,0))</f>
        <v xml:space="preserve">Объём сточных вод, принятых от потребителей</v>
      </c>
      <c r="K75" s="1005">
        <f>INDEX(TEMPLATE_NOTE_POINT_FHD,B75,MATCH(TEMPLATE_SPHERE,TEMPLATE_SPHERE_LIST_FOR_NOTE,0))</f>
        <v>0</v>
      </c>
      <c r="L75" s="844" t="str">
        <f>IF(I75=0,"",I75)</f>
        <v>7</v>
      </c>
      <c r="M75" s="844" t="str">
        <f>IF(J75=0,"",J75)</f>
        <v xml:space="preserve">Объём сточных вод, принятых от потребителей</v>
      </c>
      <c r="N75" s="844" t="str">
        <f>IF(K75=0,"",K75)</f>
        <v/>
      </c>
      <c r="O75" s="957"/>
      <c r="P75" s="957"/>
      <c r="Q75" s="957"/>
      <c r="R75" s="957" t="s">
        <v>92</v>
      </c>
      <c r="S75" s="957"/>
      <c r="T75" s="843"/>
      <c r="U75" s="843"/>
      <c r="V75" s="843"/>
      <c r="W75" s="843" t="s">
        <v>2179</v>
      </c>
      <c r="X75" s="843"/>
      <c r="Y75" s="1000"/>
      <c r="Z75" s="846"/>
      <c r="AA75" s="849"/>
      <c r="AB75" s="846"/>
      <c r="AC75" s="846"/>
      <c r="AD75" s="846"/>
    </row>
    <row r="76" ht="36" customHeight="1">
      <c r="A76" s="845"/>
      <c r="B76" s="899">
        <v>59</v>
      </c>
      <c r="C76" s="843"/>
      <c r="D76" s="967"/>
      <c r="E76" s="843"/>
      <c r="F76" s="843" t="s">
        <v>2159</v>
      </c>
      <c r="G76" s="843"/>
      <c r="H76" s="891"/>
      <c r="I76" s="1005" t="str">
        <f>INDEX(TEMPLATE_NUMBER_POINT_FHD,B76,MATCH(TEMPLATE_SPHERE,TEMPLATE_SPHERE_LIST_FOR_NOTE,0))</f>
        <v>8</v>
      </c>
      <c r="J76" s="1005" t="str">
        <f>INDEX(TEMPLATE_DATA_POINT_FHD,B76,MATCH(TEMPLATE_SPHERE,TEMPLATE_SPHERE_LIST_FOR_NOTE,0))</f>
        <v xml:space="preserve">Объём сточных вод, принятых от других регулируемых организаций, осуществляющих водоотведение и (или) очистку сточных вод</v>
      </c>
      <c r="K76" s="1005">
        <f>INDEX(TEMPLATE_NOTE_POINT_FHD,B76,MATCH(TEMPLATE_SPHERE,TEMPLATE_SPHERE_LIST_FOR_NOTE,0))</f>
        <v>0</v>
      </c>
      <c r="L76" s="844" t="str">
        <f>IF(I76=0,"",I76)</f>
        <v>8</v>
      </c>
      <c r="M76" s="844" t="str">
        <f>IF(J76=0,"",J76)</f>
        <v xml:space="preserve">Объём сточных вод, принятых от других регулируемых организаций, осуществляющих водоотведение и (или) очистку сточных вод</v>
      </c>
      <c r="N76" s="844" t="str">
        <f>IF(K76=0,"",K76)</f>
        <v/>
      </c>
      <c r="O76" s="957"/>
      <c r="P76" s="957"/>
      <c r="Q76" s="957"/>
      <c r="R76" s="957" t="s">
        <v>112</v>
      </c>
      <c r="S76" s="957"/>
      <c r="T76" s="843"/>
      <c r="U76" s="843"/>
      <c r="V76" s="843"/>
      <c r="W76" s="843" t="s">
        <v>2180</v>
      </c>
      <c r="X76" s="843"/>
      <c r="Y76" s="1000"/>
      <c r="Z76" s="846"/>
      <c r="AA76" s="849"/>
      <c r="AB76" s="846"/>
      <c r="AC76" s="846"/>
      <c r="AD76" s="846"/>
    </row>
    <row r="77" ht="18" customHeight="1">
      <c r="A77" s="845"/>
      <c r="B77" s="899">
        <v>60</v>
      </c>
      <c r="C77" s="843"/>
      <c r="D77" s="967"/>
      <c r="E77" s="843"/>
      <c r="F77" s="843" t="s">
        <v>2161</v>
      </c>
      <c r="G77" s="843"/>
      <c r="H77" s="891"/>
      <c r="I77" s="1005" t="str">
        <f>INDEX(TEMPLATE_NUMBER_POINT_FHD,B77,MATCH(TEMPLATE_SPHERE,TEMPLATE_SPHERE_LIST_FOR_NOTE,0))</f>
        <v>9</v>
      </c>
      <c r="J77" s="1005" t="str">
        <f>INDEX(TEMPLATE_DATA_POINT_FHD,B77,MATCH(TEMPLATE_SPHERE,TEMPLATE_SPHERE_LIST_FOR_NOTE,0))</f>
        <v xml:space="preserve">Объём сточных вод, пропущенных через очистные сооружения</v>
      </c>
      <c r="K77" s="1005">
        <f>INDEX(TEMPLATE_NOTE_POINT_FHD,B77,MATCH(TEMPLATE_SPHERE,TEMPLATE_SPHERE_LIST_FOR_NOTE,0))</f>
        <v>0</v>
      </c>
      <c r="L77" s="844" t="str">
        <f>IF(I77=0,"",I77)</f>
        <v>9</v>
      </c>
      <c r="M77" s="844" t="str">
        <f>IF(J77=0,"",J77)</f>
        <v xml:space="preserve">Объём сточных вод, пропущенных через очистные сооружения</v>
      </c>
      <c r="N77" s="844" t="str">
        <f>IF(K77=0,"",K77)</f>
        <v/>
      </c>
      <c r="O77" s="957"/>
      <c r="P77" s="957"/>
      <c r="Q77" s="957"/>
      <c r="R77" s="957" t="s">
        <v>152</v>
      </c>
      <c r="S77" s="957"/>
      <c r="T77" s="843"/>
      <c r="U77" s="843"/>
      <c r="V77" s="843"/>
      <c r="W77" s="843" t="s">
        <v>2181</v>
      </c>
      <c r="X77" s="843"/>
      <c r="Y77" s="1000"/>
      <c r="Z77" s="846"/>
      <c r="AA77" s="849"/>
      <c r="AB77" s="846"/>
      <c r="AC77" s="846"/>
      <c r="AD77" s="846"/>
    </row>
    <row r="78" ht="72" customHeight="1">
      <c r="A78" s="845"/>
      <c r="B78" s="899">
        <v>61</v>
      </c>
      <c r="C78" s="843" t="s">
        <v>2157</v>
      </c>
      <c r="D78" s="967"/>
      <c r="E78" s="843"/>
      <c r="F78" s="843"/>
      <c r="G78" s="843"/>
      <c r="H78" s="891"/>
      <c r="I78" s="1005">
        <f>INDEX(TEMPLATE_NUMBER_POINT_FHD,B78,MATCH(TEMPLATE_SPHERE,TEMPLATE_SPHERE_LIST_FOR_NOTE,0))</f>
        <v>0</v>
      </c>
      <c r="J78" s="1005">
        <f>INDEX(TEMPLATE_DATA_POINT_FHD,B78,MATCH(TEMPLATE_SPHERE,TEMPLATE_SPHERE_LIST_FOR_NOTE,0))</f>
        <v>0</v>
      </c>
      <c r="K78" s="1005">
        <f>INDEX(TEMPLATE_NOTE_POINT_FHD,B78,MATCH(TEMPLATE_SPHERE,TEMPLATE_SPHERE_LIST_FOR_NOTE,0))</f>
        <v>0</v>
      </c>
      <c r="L78" s="844" t="str">
        <f>IF(I78=0,"",I78)</f>
        <v/>
      </c>
      <c r="M78" s="844" t="str">
        <f>IF(J78=0,"",J78)</f>
        <v/>
      </c>
      <c r="N78" s="844" t="str">
        <f>IF(K78=0,"",K78)</f>
        <v/>
      </c>
      <c r="O78" s="957" t="s">
        <v>92</v>
      </c>
      <c r="P78" s="957"/>
      <c r="Q78" s="957"/>
      <c r="R78" s="957"/>
      <c r="S78" s="957"/>
      <c r="T78" s="843" t="s">
        <v>637</v>
      </c>
      <c r="U78" s="843"/>
      <c r="V78" s="843"/>
      <c r="W78" s="843"/>
      <c r="X78" s="843"/>
      <c r="Y78" s="1000"/>
      <c r="Z78" s="846" t="s">
        <v>2182</v>
      </c>
      <c r="AA78" s="849"/>
      <c r="AB78" s="846"/>
      <c r="AC78" s="846"/>
      <c r="AD78" s="846"/>
    </row>
    <row r="79" ht="36" customHeight="1">
      <c r="A79" s="845"/>
      <c r="B79" s="899">
        <v>62</v>
      </c>
      <c r="C79" s="843" t="s">
        <v>2159</v>
      </c>
      <c r="D79" s="967"/>
      <c r="E79" s="843"/>
      <c r="F79" s="843"/>
      <c r="G79" s="843"/>
      <c r="H79" s="891"/>
      <c r="I79" s="1005">
        <f>INDEX(TEMPLATE_NUMBER_POINT_FHD,B79,MATCH(TEMPLATE_SPHERE,TEMPLATE_SPHERE_LIST_FOR_NOTE,0))</f>
        <v>0</v>
      </c>
      <c r="J79" s="1005">
        <f>INDEX(TEMPLATE_DATA_POINT_FHD,B79,MATCH(TEMPLATE_SPHERE,TEMPLATE_SPHERE_LIST_FOR_NOTE,0))</f>
        <v>0</v>
      </c>
      <c r="K79" s="1005">
        <f>INDEX(TEMPLATE_NOTE_POINT_FHD,B79,MATCH(TEMPLATE_SPHERE,TEMPLATE_SPHERE_LIST_FOR_NOTE,0))</f>
        <v>0</v>
      </c>
      <c r="L79" s="844" t="str">
        <f>IF(I79=0,"",I79)</f>
        <v/>
      </c>
      <c r="M79" s="844" t="str">
        <f>IF(J79=0,"",J79)</f>
        <v/>
      </c>
      <c r="N79" s="844" t="str">
        <f>IF(K79=0,"",K79)</f>
        <v/>
      </c>
      <c r="O79" s="957" t="s">
        <v>112</v>
      </c>
      <c r="P79" s="957"/>
      <c r="Q79" s="957"/>
      <c r="R79" s="957"/>
      <c r="S79" s="957"/>
      <c r="T79" s="843" t="s">
        <v>2183</v>
      </c>
      <c r="U79" s="843"/>
      <c r="V79" s="843"/>
      <c r="W79" s="843"/>
      <c r="X79" s="843"/>
      <c r="Y79" s="1000"/>
      <c r="Z79" s="846" t="s">
        <v>2184</v>
      </c>
      <c r="AA79" s="849"/>
      <c r="AB79" s="846"/>
      <c r="AC79" s="846"/>
      <c r="AD79" s="846"/>
    </row>
    <row r="80" ht="45" customHeight="1">
      <c r="A80" s="845"/>
      <c r="B80" s="899">
        <v>63</v>
      </c>
      <c r="C80" s="843" t="s">
        <v>2161</v>
      </c>
      <c r="D80" s="967"/>
      <c r="E80" s="843"/>
      <c r="F80" s="843"/>
      <c r="G80" s="843"/>
      <c r="H80" s="891"/>
      <c r="I80" s="1005">
        <f>INDEX(TEMPLATE_NUMBER_POINT_FHD,B80,MATCH(TEMPLATE_SPHERE,TEMPLATE_SPHERE_LIST_FOR_NOTE,0))</f>
        <v>0</v>
      </c>
      <c r="J80" s="1005">
        <f>INDEX(TEMPLATE_DATA_POINT_FHD,B80,MATCH(TEMPLATE_SPHERE,TEMPLATE_SPHERE_LIST_FOR_NOTE,0))</f>
        <v>0</v>
      </c>
      <c r="K80" s="1005">
        <f>INDEX(TEMPLATE_NOTE_POINT_FHD,B80,MATCH(TEMPLATE_SPHERE,TEMPLATE_SPHERE_LIST_FOR_NOTE,0))</f>
        <v>0</v>
      </c>
      <c r="L80" s="844" t="str">
        <f>IF(I80=0,"",I80)</f>
        <v/>
      </c>
      <c r="M80" s="844" t="str">
        <f>IF(J80=0,"",J80)</f>
        <v/>
      </c>
      <c r="N80" s="844" t="str">
        <f>IF(K80=0,"",K80)</f>
        <v/>
      </c>
      <c r="O80" s="957" t="s">
        <v>152</v>
      </c>
      <c r="P80" s="957"/>
      <c r="Q80" s="957"/>
      <c r="R80" s="957"/>
      <c r="S80" s="957"/>
      <c r="T80" s="843" t="s">
        <v>2185</v>
      </c>
      <c r="U80" s="843"/>
      <c r="V80" s="843"/>
      <c r="W80" s="843"/>
      <c r="X80" s="843"/>
      <c r="Y80" s="1000"/>
      <c r="Z80" s="846" t="s">
        <v>2186</v>
      </c>
      <c r="AA80" s="849"/>
      <c r="AB80" s="846"/>
      <c r="AC80" s="846"/>
      <c r="AD80" s="846"/>
    </row>
    <row r="81" ht="36" customHeight="1">
      <c r="A81" s="845"/>
      <c r="B81" s="899">
        <v>64</v>
      </c>
      <c r="C81" s="843" t="s">
        <v>2163</v>
      </c>
      <c r="D81" s="967"/>
      <c r="E81" s="843"/>
      <c r="F81" s="843"/>
      <c r="G81" s="843"/>
      <c r="H81" s="891"/>
      <c r="I81" s="1005">
        <f>INDEX(TEMPLATE_NUMBER_POINT_FHD,B81,MATCH(TEMPLATE_SPHERE,TEMPLATE_SPHERE_LIST_FOR_NOTE,0))</f>
        <v>0</v>
      </c>
      <c r="J81" s="1005">
        <f>INDEX(TEMPLATE_DATA_POINT_FHD,B81,MATCH(TEMPLATE_SPHERE,TEMPLATE_SPHERE_LIST_FOR_NOTE,0))</f>
        <v>0</v>
      </c>
      <c r="K81" s="1005">
        <f>INDEX(TEMPLATE_NOTE_POINT_FHD,B81,MATCH(TEMPLATE_SPHERE,TEMPLATE_SPHERE_LIST_FOR_NOTE,0))</f>
        <v>0</v>
      </c>
      <c r="L81" s="844" t="str">
        <f>IF(I81=0,"",I81)</f>
        <v/>
      </c>
      <c r="M81" s="844" t="str">
        <f>IF(J81=0,"",J81)</f>
        <v/>
      </c>
      <c r="N81" s="844" t="str">
        <f>IF(K81=0,"",K81)</f>
        <v/>
      </c>
      <c r="O81" s="957" t="s">
        <v>2069</v>
      </c>
      <c r="P81" s="957"/>
      <c r="Q81" s="957"/>
      <c r="R81" s="957"/>
      <c r="S81" s="957"/>
      <c r="T81" s="843" t="s">
        <v>2187</v>
      </c>
      <c r="U81" s="843"/>
      <c r="V81" s="843"/>
      <c r="W81" s="843"/>
      <c r="X81" s="843"/>
      <c r="Y81" s="1000"/>
      <c r="Z81" s="846" t="s">
        <v>2188</v>
      </c>
      <c r="AA81" s="849"/>
      <c r="AB81" s="846"/>
      <c r="AC81" s="846"/>
      <c r="AD81" s="846"/>
    </row>
    <row r="82" ht="90" customHeight="1">
      <c r="A82" s="845"/>
      <c r="B82" s="899">
        <v>65</v>
      </c>
      <c r="C82" s="843" t="s">
        <v>2172</v>
      </c>
      <c r="D82" s="967"/>
      <c r="E82" s="843"/>
      <c r="F82" s="843"/>
      <c r="G82" s="843"/>
      <c r="H82" s="891"/>
      <c r="I82" s="1005">
        <f>INDEX(TEMPLATE_NUMBER_POINT_FHD,B82,MATCH(TEMPLATE_SPHERE,TEMPLATE_SPHERE_LIST_FOR_NOTE,0))</f>
        <v>0</v>
      </c>
      <c r="J82" s="1005">
        <f>INDEX(TEMPLATE_DATA_POINT_FHD,B82,MATCH(TEMPLATE_SPHERE,TEMPLATE_SPHERE_LIST_FOR_NOTE,0))</f>
        <v>0</v>
      </c>
      <c r="K82" s="1005">
        <f>INDEX(TEMPLATE_NOTE_POINT_FHD,B82,MATCH(TEMPLATE_SPHERE,TEMPLATE_SPHERE_LIST_FOR_NOTE,0))</f>
        <v>0</v>
      </c>
      <c r="L82" s="844" t="str">
        <f>IF(I82=0,"",I82)</f>
        <v/>
      </c>
      <c r="M82" s="844" t="str">
        <f>IF(J82=0,"",J82)</f>
        <v/>
      </c>
      <c r="N82" s="844" t="str">
        <f>IF(K82=0,"",K82)</f>
        <v/>
      </c>
      <c r="O82" s="957" t="s">
        <v>153</v>
      </c>
      <c r="P82" s="957"/>
      <c r="Q82" s="957"/>
      <c r="R82" s="957"/>
      <c r="S82" s="957"/>
      <c r="T82" s="843" t="s">
        <v>2189</v>
      </c>
      <c r="U82" s="843"/>
      <c r="V82" s="843"/>
      <c r="W82" s="843"/>
      <c r="X82" s="843"/>
      <c r="Y82" s="1000"/>
      <c r="Z82" s="846" t="s">
        <v>2190</v>
      </c>
      <c r="AA82" s="849"/>
      <c r="AB82" s="846"/>
      <c r="AC82" s="846"/>
      <c r="AD82" s="846"/>
    </row>
    <row r="83" ht="9" customHeight="1">
      <c r="A83" s="845"/>
      <c r="B83" s="899">
        <v>66</v>
      </c>
      <c r="C83" s="843"/>
      <c r="D83" s="967"/>
      <c r="E83" s="843"/>
      <c r="F83" s="843"/>
      <c r="G83" s="843"/>
      <c r="H83" s="891"/>
      <c r="I83" s="1005">
        <f>INDEX(TEMPLATE_NUMBER_POINT_FHD,B83,MATCH(TEMPLATE_SPHERE,TEMPLATE_SPHERE_LIST_FOR_NOTE,0))</f>
        <v>0</v>
      </c>
      <c r="J83" s="1005">
        <f>INDEX(TEMPLATE_DATA_POINT_FHD,B83,MATCH(TEMPLATE_SPHERE,TEMPLATE_SPHERE_LIST_FOR_NOTE,0))</f>
        <v>0</v>
      </c>
      <c r="K83" s="1005">
        <f>INDEX(TEMPLATE_NOTE_POINT_FHD,B83,MATCH(TEMPLATE_SPHERE,TEMPLATE_SPHERE_LIST_FOR_NOTE,0))</f>
        <v>0</v>
      </c>
      <c r="L83" s="844" t="str">
        <f>IF(I83=0,"",I83)</f>
        <v/>
      </c>
      <c r="M83" s="844" t="str">
        <f>IF(J83=0,"",J83)</f>
        <v/>
      </c>
      <c r="N83" s="844" t="str">
        <f>IF(K83=0,"",K83)</f>
        <v/>
      </c>
      <c r="O83" s="957" t="s">
        <v>2078</v>
      </c>
      <c r="P83" s="957"/>
      <c r="Q83" s="957"/>
      <c r="R83" s="957"/>
      <c r="S83" s="957"/>
      <c r="T83" s="843" t="s">
        <v>2191</v>
      </c>
      <c r="U83" s="843"/>
      <c r="V83" s="843"/>
      <c r="W83" s="843"/>
      <c r="X83" s="843"/>
      <c r="Y83" s="1000"/>
      <c r="Z83" s="846"/>
      <c r="AA83" s="849"/>
      <c r="AB83" s="846"/>
      <c r="AC83" s="846"/>
      <c r="AD83" s="846"/>
    </row>
    <row r="84" ht="54" customHeight="1">
      <c r="A84" s="845"/>
      <c r="B84" s="899">
        <v>67</v>
      </c>
      <c r="C84" s="843"/>
      <c r="D84" s="967"/>
      <c r="E84" s="843"/>
      <c r="F84" s="843"/>
      <c r="G84" s="843"/>
      <c r="H84" s="891"/>
      <c r="I84" s="1005">
        <f>INDEX(TEMPLATE_NUMBER_POINT_FHD,B84,MATCH(TEMPLATE_SPHERE,TEMPLATE_SPHERE_LIST_FOR_NOTE,0))</f>
        <v>0</v>
      </c>
      <c r="J84" s="1005">
        <f>INDEX(TEMPLATE_DATA_POINT_FHD,B84,MATCH(TEMPLATE_SPHERE,TEMPLATE_SPHERE_LIST_FOR_NOTE,0))</f>
        <v>0</v>
      </c>
      <c r="K84" s="1005">
        <f>INDEX(TEMPLATE_NOTE_POINT_FHD,B84,MATCH(TEMPLATE_SPHERE,TEMPLATE_SPHERE_LIST_FOR_NOTE,0))</f>
        <v>0</v>
      </c>
      <c r="L84" s="844" t="str">
        <f>IF(I84=0,"",I84)</f>
        <v/>
      </c>
      <c r="M84" s="844" t="str">
        <f>IF(J84=0,"",J84)</f>
        <v/>
      </c>
      <c r="N84" s="844" t="str">
        <f>IF(K84=0,"",K84)</f>
        <v/>
      </c>
      <c r="O84" s="957" t="s">
        <v>2192</v>
      </c>
      <c r="P84" s="957"/>
      <c r="Q84" s="957"/>
      <c r="R84" s="957"/>
      <c r="S84" s="957"/>
      <c r="T84" s="843" t="s">
        <v>2193</v>
      </c>
      <c r="U84" s="843"/>
      <c r="V84" s="843"/>
      <c r="W84" s="843"/>
      <c r="X84" s="843"/>
      <c r="Y84" s="1000"/>
      <c r="Z84" s="846"/>
      <c r="AA84" s="849"/>
      <c r="AB84" s="846"/>
      <c r="AC84" s="846"/>
      <c r="AD84" s="846"/>
    </row>
    <row r="85" ht="9" customHeight="1">
      <c r="A85" s="845"/>
      <c r="B85" s="899">
        <v>68</v>
      </c>
      <c r="C85" s="843"/>
      <c r="D85" s="967"/>
      <c r="E85" s="843"/>
      <c r="F85" s="843"/>
      <c r="G85" s="843"/>
      <c r="H85" s="891"/>
      <c r="I85" s="1005">
        <f>INDEX(TEMPLATE_NUMBER_POINT_FHD,B85,MATCH(TEMPLATE_SPHERE,TEMPLATE_SPHERE_LIST_FOR_NOTE,0))</f>
        <v>0</v>
      </c>
      <c r="J85" s="1005">
        <f>INDEX(TEMPLATE_DATA_POINT_FHD,B85,MATCH(TEMPLATE_SPHERE,TEMPLATE_SPHERE_LIST_FOR_NOTE,0))</f>
        <v>0</v>
      </c>
      <c r="K85" s="1005">
        <f>INDEX(TEMPLATE_NOTE_POINT_FHD,B85,MATCH(TEMPLATE_SPHERE,TEMPLATE_SPHERE_LIST_FOR_NOTE,0))</f>
        <v>0</v>
      </c>
      <c r="L85" s="844" t="str">
        <f>IF(I85=0,"",I85)</f>
        <v/>
      </c>
      <c r="M85" s="844" t="str">
        <f>IF(J85=0,"",J85)</f>
        <v/>
      </c>
      <c r="N85" s="844" t="str">
        <f>IF(K85=0,"",K85)</f>
        <v/>
      </c>
      <c r="O85" s="957" t="s">
        <v>2082</v>
      </c>
      <c r="P85" s="957"/>
      <c r="Q85" s="957"/>
      <c r="R85" s="957"/>
      <c r="S85" s="957"/>
      <c r="T85" s="843" t="s">
        <v>2194</v>
      </c>
      <c r="U85" s="843"/>
      <c r="V85" s="843"/>
      <c r="W85" s="843"/>
      <c r="X85" s="843"/>
      <c r="Y85" s="1000"/>
      <c r="Z85" s="846"/>
      <c r="AA85" s="849"/>
      <c r="AB85" s="846"/>
      <c r="AC85" s="846"/>
      <c r="AD85" s="846"/>
    </row>
    <row r="86" ht="27" customHeight="1">
      <c r="A86" s="845"/>
      <c r="B86" s="899">
        <v>69</v>
      </c>
      <c r="C86" s="843"/>
      <c r="D86" s="967"/>
      <c r="E86" s="843"/>
      <c r="F86" s="843"/>
      <c r="G86" s="843"/>
      <c r="H86" s="891"/>
      <c r="I86" s="1005">
        <f>INDEX(TEMPLATE_NUMBER_POINT_FHD,B86,MATCH(TEMPLATE_SPHERE,TEMPLATE_SPHERE_LIST_FOR_NOTE,0))</f>
        <v>0</v>
      </c>
      <c r="J86" s="1005">
        <f>INDEX(TEMPLATE_DATA_POINT_FHD,B86,MATCH(TEMPLATE_SPHERE,TEMPLATE_SPHERE_LIST_FOR_NOTE,0))</f>
        <v>0</v>
      </c>
      <c r="K86" s="1005">
        <f>INDEX(TEMPLATE_NOTE_POINT_FHD,B86,MATCH(TEMPLATE_SPHERE,TEMPLATE_SPHERE_LIST_FOR_NOTE,0))</f>
        <v>0</v>
      </c>
      <c r="L86" s="844" t="str">
        <f>IF(I86=0,"",I86)</f>
        <v/>
      </c>
      <c r="M86" s="844" t="str">
        <f>IF(J86=0,"",J86)</f>
        <v/>
      </c>
      <c r="N86" s="844" t="str">
        <f>IF(K86=0,"",K86)</f>
        <v/>
      </c>
      <c r="O86" s="957" t="s">
        <v>2195</v>
      </c>
      <c r="P86" s="957"/>
      <c r="Q86" s="957"/>
      <c r="R86" s="957"/>
      <c r="S86" s="957"/>
      <c r="T86" s="843" t="s">
        <v>2196</v>
      </c>
      <c r="U86" s="843"/>
      <c r="V86" s="843"/>
      <c r="W86" s="843"/>
      <c r="X86" s="843"/>
      <c r="Y86" s="1000"/>
      <c r="Z86" s="846"/>
      <c r="AA86" s="849"/>
      <c r="AB86" s="846"/>
      <c r="AC86" s="846"/>
      <c r="AD86" s="846"/>
    </row>
    <row r="87" ht="36" customHeight="1">
      <c r="A87" s="845"/>
      <c r="B87" s="899">
        <v>70</v>
      </c>
      <c r="C87" s="843" t="s">
        <v>2197</v>
      </c>
      <c r="D87" s="967"/>
      <c r="E87" s="843"/>
      <c r="F87" s="843"/>
      <c r="G87" s="843"/>
      <c r="H87" s="891"/>
      <c r="I87" s="1005">
        <f>INDEX(TEMPLATE_NUMBER_POINT_FHD,B87,MATCH(TEMPLATE_SPHERE,TEMPLATE_SPHERE_LIST_FOR_NOTE,0))</f>
        <v>0</v>
      </c>
      <c r="J87" s="1005">
        <f>INDEX(TEMPLATE_DATA_POINT_FHD,B87,MATCH(TEMPLATE_SPHERE,TEMPLATE_SPHERE_LIST_FOR_NOTE,0))</f>
        <v>0</v>
      </c>
      <c r="K87" s="1005">
        <f>INDEX(TEMPLATE_NOTE_POINT_FHD,B87,MATCH(TEMPLATE_SPHERE,TEMPLATE_SPHERE_LIST_FOR_NOTE,0))</f>
        <v>0</v>
      </c>
      <c r="L87" s="844" t="str">
        <f>IF(I87=0,"",I87)</f>
        <v/>
      </c>
      <c r="M87" s="844" t="str">
        <f>IF(J87=0,"",J87)</f>
        <v/>
      </c>
      <c r="N87" s="844" t="str">
        <f>IF(K87=0,"",K87)</f>
        <v/>
      </c>
      <c r="O87" s="957" t="s">
        <v>154</v>
      </c>
      <c r="P87" s="957"/>
      <c r="Q87" s="957"/>
      <c r="R87" s="957"/>
      <c r="S87" s="957"/>
      <c r="T87" s="843" t="s">
        <v>2198</v>
      </c>
      <c r="U87" s="843"/>
      <c r="V87" s="843"/>
      <c r="W87" s="843"/>
      <c r="X87" s="843"/>
      <c r="Y87" s="1000"/>
      <c r="Z87" s="846"/>
      <c r="AA87" s="849"/>
      <c r="AB87" s="846"/>
      <c r="AC87" s="846"/>
      <c r="AD87" s="846"/>
    </row>
    <row r="88" ht="18" customHeight="1">
      <c r="A88" s="845"/>
      <c r="B88" s="899">
        <v>71</v>
      </c>
      <c r="C88" s="843" t="s">
        <v>2199</v>
      </c>
      <c r="D88" s="967"/>
      <c r="E88" s="843"/>
      <c r="F88" s="843"/>
      <c r="G88" s="843"/>
      <c r="H88" s="891"/>
      <c r="I88" s="1005">
        <f>INDEX(TEMPLATE_NUMBER_POINT_FHD,B88,MATCH(TEMPLATE_SPHERE,TEMPLATE_SPHERE_LIST_FOR_NOTE,0))</f>
        <v>0</v>
      </c>
      <c r="J88" s="1005">
        <f>INDEX(TEMPLATE_DATA_POINT_FHD,B88,MATCH(TEMPLATE_SPHERE,TEMPLATE_SPHERE_LIST_FOR_NOTE,0))</f>
        <v>0</v>
      </c>
      <c r="K88" s="1005">
        <f>INDEX(TEMPLATE_NOTE_POINT_FHD,B88,MATCH(TEMPLATE_SPHERE,TEMPLATE_SPHERE_LIST_FOR_NOTE,0))</f>
        <v>0</v>
      </c>
      <c r="L88" s="844" t="str">
        <f>IF(I88=0,"",I88)</f>
        <v/>
      </c>
      <c r="M88" s="844" t="str">
        <f>IF(J88=0,"",J88)</f>
        <v/>
      </c>
      <c r="N88" s="844" t="str">
        <f>IF(K88=0,"",K88)</f>
        <v/>
      </c>
      <c r="O88" s="957" t="s">
        <v>155</v>
      </c>
      <c r="P88" s="957"/>
      <c r="Q88" s="957"/>
      <c r="R88" s="957"/>
      <c r="S88" s="957"/>
      <c r="T88" s="843" t="s">
        <v>669</v>
      </c>
      <c r="U88" s="843"/>
      <c r="V88" s="843"/>
      <c r="W88" s="843"/>
      <c r="X88" s="843"/>
      <c r="Y88" s="1000"/>
      <c r="Z88" s="846"/>
      <c r="AA88" s="849"/>
      <c r="AB88" s="846"/>
      <c r="AC88" s="846"/>
      <c r="AD88" s="846"/>
    </row>
    <row r="89" ht="18" customHeight="1">
      <c r="A89" s="845"/>
      <c r="B89" s="899">
        <v>72</v>
      </c>
      <c r="C89" s="843" t="s">
        <v>2200</v>
      </c>
      <c r="D89" s="967" t="s">
        <v>2197</v>
      </c>
      <c r="E89" s="843" t="s">
        <v>2197</v>
      </c>
      <c r="F89" s="843" t="s">
        <v>2163</v>
      </c>
      <c r="G89" s="843"/>
      <c r="H89" s="891"/>
      <c r="I89" s="1005" t="str">
        <f>INDEX(TEMPLATE_NUMBER_POINT_FHD,B89,MATCH(TEMPLATE_SPHERE,TEMPLATE_SPHERE_LIST_FOR_NOTE,0))</f>
        <v>10</v>
      </c>
      <c r="J89" s="1005" t="str">
        <f>INDEX(TEMPLATE_DATA_POINT_FHD,B89,MATCH(TEMPLATE_SPHERE,TEMPLATE_SPHERE_LIST_FOR_NOTE,0))</f>
        <v xml:space="preserve">Среднесписочная численность основного производственного персонала</v>
      </c>
      <c r="K89" s="1005">
        <f>INDEX(TEMPLATE_NOTE_POINT_FHD,B89,MATCH(TEMPLATE_SPHERE,TEMPLATE_SPHERE_LIST_FOR_NOTE,0))</f>
        <v>0</v>
      </c>
      <c r="L89" s="844" t="str">
        <f>IF(I89=0,"",I89)</f>
        <v>10</v>
      </c>
      <c r="M89" s="844" t="str">
        <f>IF(J89=0,"",J89)</f>
        <v xml:space="preserve">Среднесписочная численность основного производственного персонала</v>
      </c>
      <c r="N89" s="844" t="str">
        <f>IF(K89=0,"",K89)</f>
        <v/>
      </c>
      <c r="O89" s="957" t="s">
        <v>156</v>
      </c>
      <c r="P89" s="957" t="s">
        <v>155</v>
      </c>
      <c r="Q89" s="957" t="s">
        <v>155</v>
      </c>
      <c r="R89" s="957" t="s">
        <v>153</v>
      </c>
      <c r="S89" s="957"/>
      <c r="T89" s="843" t="s">
        <v>677</v>
      </c>
      <c r="U89" s="843" t="s">
        <v>677</v>
      </c>
      <c r="V89" s="843" t="s">
        <v>677</v>
      </c>
      <c r="W89" s="843" t="s">
        <v>677</v>
      </c>
      <c r="X89" s="843"/>
      <c r="Y89" s="1000"/>
      <c r="Z89" s="846"/>
      <c r="AA89" s="849"/>
      <c r="AB89" s="846"/>
      <c r="AC89" s="846"/>
      <c r="AD89" s="846"/>
    </row>
    <row r="90" ht="27" customHeight="1">
      <c r="A90" s="845"/>
      <c r="B90" s="899">
        <v>73</v>
      </c>
      <c r="C90" s="843" t="s">
        <v>2201</v>
      </c>
      <c r="D90" s="967"/>
      <c r="E90" s="843"/>
      <c r="F90" s="843"/>
      <c r="G90" s="843"/>
      <c r="H90" s="891"/>
      <c r="I90" s="1005">
        <f>INDEX(TEMPLATE_NUMBER_POINT_FHD,B90,MATCH(TEMPLATE_SPHERE,TEMPLATE_SPHERE_LIST_FOR_NOTE,0))</f>
        <v>0</v>
      </c>
      <c r="J90" s="1005">
        <f>INDEX(TEMPLATE_DATA_POINT_FHD,B90,MATCH(TEMPLATE_SPHERE,TEMPLATE_SPHERE_LIST_FOR_NOTE,0))</f>
        <v>0</v>
      </c>
      <c r="K90" s="1005">
        <f>INDEX(TEMPLATE_NOTE_POINT_FHD,B90,MATCH(TEMPLATE_SPHERE,TEMPLATE_SPHERE_LIST_FOR_NOTE,0))</f>
        <v>0</v>
      </c>
      <c r="L90" s="844" t="str">
        <f>IF(I90=0,"",I90)</f>
        <v/>
      </c>
      <c r="M90" s="844" t="str">
        <f>IF(J90=0,"",J90)</f>
        <v/>
      </c>
      <c r="N90" s="844" t="str">
        <f>IF(K90=0,"",K90)</f>
        <v/>
      </c>
      <c r="O90" s="957" t="s">
        <v>157</v>
      </c>
      <c r="P90" s="957"/>
      <c r="Q90" s="957"/>
      <c r="R90" s="957"/>
      <c r="S90" s="957"/>
      <c r="T90" s="843" t="s">
        <v>679</v>
      </c>
      <c r="U90" s="843"/>
      <c r="V90" s="843"/>
      <c r="W90" s="843"/>
      <c r="X90" s="843"/>
      <c r="Y90" s="1000"/>
      <c r="Z90" s="846"/>
      <c r="AA90" s="849"/>
      <c r="AB90" s="846"/>
      <c r="AC90" s="846"/>
      <c r="AD90" s="846"/>
    </row>
    <row r="91" ht="18" customHeight="1">
      <c r="A91" s="845"/>
      <c r="B91" s="899">
        <v>74</v>
      </c>
      <c r="C91" s="843"/>
      <c r="D91" s="967" t="s">
        <v>2199</v>
      </c>
      <c r="E91" s="843" t="s">
        <v>2199</v>
      </c>
      <c r="F91" s="843"/>
      <c r="G91" s="843"/>
      <c r="H91" s="891"/>
      <c r="I91" s="1005">
        <f>INDEX(TEMPLATE_NUMBER_POINT_FHD,B91,MATCH(TEMPLATE_SPHERE,TEMPLATE_SPHERE_LIST_FOR_NOTE,0))</f>
        <v>0</v>
      </c>
      <c r="J91" s="1005">
        <f>INDEX(TEMPLATE_DATA_POINT_FHD,B91,MATCH(TEMPLATE_SPHERE,TEMPLATE_SPHERE_LIST_FOR_NOTE,0))</f>
        <v>0</v>
      </c>
      <c r="K91" s="1005">
        <f>INDEX(TEMPLATE_NOTE_POINT_FHD,B91,MATCH(TEMPLATE_SPHERE,TEMPLATE_SPHERE_LIST_FOR_NOTE,0))</f>
        <v>0</v>
      </c>
      <c r="L91" s="844" t="str">
        <f>IF(I91=0,"",I91)</f>
        <v/>
      </c>
      <c r="M91" s="844" t="str">
        <f>IF(J91=0,"",J91)</f>
        <v/>
      </c>
      <c r="N91" s="844" t="str">
        <f>IF(K91=0,"",K91)</f>
        <v/>
      </c>
      <c r="O91" s="957"/>
      <c r="P91" s="957" t="s">
        <v>156</v>
      </c>
      <c r="Q91" s="957" t="s">
        <v>156</v>
      </c>
      <c r="R91" s="957"/>
      <c r="S91" s="957"/>
      <c r="T91" s="843"/>
      <c r="U91" s="843" t="s">
        <v>2202</v>
      </c>
      <c r="V91" s="843" t="s">
        <v>2202</v>
      </c>
      <c r="W91" s="843"/>
      <c r="X91" s="843"/>
      <c r="Y91" s="1000"/>
      <c r="Z91" s="846"/>
      <c r="AA91" s="849"/>
      <c r="AB91" s="846"/>
      <c r="AC91" s="846"/>
      <c r="AD91" s="846"/>
    </row>
    <row r="92" ht="27" customHeight="1">
      <c r="A92" s="845"/>
      <c r="B92" s="899">
        <v>75</v>
      </c>
      <c r="C92" s="843"/>
      <c r="D92" s="967" t="s">
        <v>2200</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157</v>
      </c>
      <c r="Q92" s="957"/>
      <c r="R92" s="957"/>
      <c r="S92" s="957"/>
      <c r="T92" s="843"/>
      <c r="U92" s="843" t="s">
        <v>2203</v>
      </c>
      <c r="V92" s="843"/>
      <c r="W92" s="843"/>
      <c r="X92" s="843"/>
      <c r="Y92" s="1000"/>
      <c r="Z92" s="846"/>
      <c r="AA92" s="849" t="s">
        <v>2204</v>
      </c>
      <c r="AB92" s="846"/>
      <c r="AC92" s="846"/>
      <c r="AD92" s="846"/>
    </row>
    <row r="93" ht="27" customHeight="1">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2110</v>
      </c>
      <c r="Q93" s="957"/>
      <c r="R93" s="957"/>
      <c r="S93" s="957"/>
      <c r="T93" s="843"/>
      <c r="U93" s="843" t="s">
        <v>2205</v>
      </c>
      <c r="V93" s="843"/>
      <c r="W93" s="843"/>
      <c r="X93" s="843"/>
      <c r="Y93" s="1000"/>
      <c r="Z93" s="846"/>
      <c r="AA93" s="849" t="s">
        <v>2206</v>
      </c>
      <c r="AB93" s="846"/>
      <c r="AC93" s="846"/>
      <c r="AD93" s="846"/>
    </row>
    <row r="94" ht="45" customHeight="1">
      <c r="A94" s="845"/>
      <c r="B94" s="899">
        <v>77</v>
      </c>
      <c r="C94" s="843"/>
      <c r="D94" s="967" t="s">
        <v>2201</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1465</v>
      </c>
      <c r="Q94" s="957"/>
      <c r="R94" s="957"/>
      <c r="S94" s="957"/>
      <c r="T94" s="843"/>
      <c r="U94" s="843" t="s">
        <v>2207</v>
      </c>
      <c r="V94" s="843"/>
      <c r="W94" s="843"/>
      <c r="X94" s="843"/>
      <c r="Y94" s="1000"/>
      <c r="Z94" s="846"/>
      <c r="AA94" s="849" t="s">
        <v>2208</v>
      </c>
      <c r="AB94" s="846"/>
      <c r="AC94" s="846"/>
      <c r="AD94" s="846"/>
    </row>
    <row r="95" ht="99" customHeight="1">
      <c r="A95" s="845"/>
      <c r="B95" s="899">
        <v>78</v>
      </c>
      <c r="C95" s="843" t="s">
        <v>2209</v>
      </c>
      <c r="D95" s="967"/>
      <c r="E95" s="843"/>
      <c r="F95" s="843"/>
      <c r="G95" s="843"/>
      <c r="H95" s="891"/>
      <c r="I95" s="1005">
        <f>INDEX(TEMPLATE_NUMBER_POINT_FHD,B95,MATCH(TEMPLATE_SPHERE,TEMPLATE_SPHERE_LIST_FOR_NOTE,0))</f>
        <v>0</v>
      </c>
      <c r="J95" s="1005">
        <f>INDEX(TEMPLATE_DATA_POINT_FHD,B95,MATCH(TEMPLATE_SPHERE,TEMPLATE_SPHERE_LIST_FOR_NOTE,0))</f>
        <v>0</v>
      </c>
      <c r="K95" s="1005">
        <f>INDEX(TEMPLATE_NOTE_POINT_FHD,B95,MATCH(TEMPLATE_SPHERE,TEMPLATE_SPHERE_LIST_FOR_NOTE,0))</f>
        <v>0</v>
      </c>
      <c r="L95" s="844" t="str">
        <f>IF(I95=0,"",I95)</f>
        <v/>
      </c>
      <c r="M95" s="844" t="str">
        <f>IF(J95=0,"",J95)</f>
        <v/>
      </c>
      <c r="N95" s="844" t="str">
        <f>IF(K95=0,"",K95)</f>
        <v/>
      </c>
      <c r="O95" s="957" t="s">
        <v>1465</v>
      </c>
      <c r="P95" s="957"/>
      <c r="Q95" s="957"/>
      <c r="R95" s="957"/>
      <c r="S95" s="957"/>
      <c r="T95" s="843" t="s">
        <v>2210</v>
      </c>
      <c r="U95" s="843"/>
      <c r="V95" s="843"/>
      <c r="W95" s="843"/>
      <c r="X95" s="843"/>
      <c r="Y95" s="1000"/>
      <c r="Z95" s="846"/>
      <c r="AA95" s="849"/>
      <c r="AB95" s="846"/>
      <c r="AC95" s="846"/>
      <c r="AD95" s="846"/>
    </row>
    <row r="96" ht="99" customHeight="1">
      <c r="A96" s="845"/>
      <c r="B96" s="899">
        <v>79</v>
      </c>
      <c r="C96" s="843" t="s">
        <v>1151</v>
      </c>
      <c r="D96" s="967"/>
      <c r="E96" s="843"/>
      <c r="F96" s="843"/>
      <c r="G96" s="843"/>
      <c r="H96" s="891"/>
      <c r="I96" s="1005">
        <f>INDEX(TEMPLATE_NUMBER_POINT_FHD,B96,MATCH(TEMPLATE_SPHERE,TEMPLATE_SPHERE_LIST_FOR_NOTE,0))</f>
        <v>0</v>
      </c>
      <c r="J96" s="1005">
        <f>INDEX(TEMPLATE_DATA_POINT_FHD,B96,MATCH(TEMPLATE_SPHERE,TEMPLATE_SPHERE_LIST_FOR_NOTE,0))</f>
        <v>0</v>
      </c>
      <c r="K96" s="1005">
        <f>INDEX(TEMPLATE_NOTE_POINT_FHD,B96,MATCH(TEMPLATE_SPHERE,TEMPLATE_SPHERE_LIST_FOR_NOTE,0))</f>
        <v>0</v>
      </c>
      <c r="L96" s="844" t="str">
        <f>IF(I96=0,"",I96)</f>
        <v/>
      </c>
      <c r="M96" s="844" t="str">
        <f>IF(J96=0,"",J96)</f>
        <v/>
      </c>
      <c r="N96" s="844" t="str">
        <f>IF(K96=0,"",K96)</f>
        <v/>
      </c>
      <c r="O96" s="957" t="s">
        <v>1471</v>
      </c>
      <c r="P96" s="957"/>
      <c r="Q96" s="957"/>
      <c r="R96" s="957"/>
      <c r="S96" s="957"/>
      <c r="T96" s="843" t="s">
        <v>2211</v>
      </c>
      <c r="U96" s="843"/>
      <c r="V96" s="843"/>
      <c r="W96" s="843"/>
      <c r="X96" s="843"/>
      <c r="Y96" s="1000"/>
      <c r="Z96" s="846" t="s">
        <v>2212</v>
      </c>
      <c r="AA96" s="849"/>
      <c r="AB96" s="846"/>
      <c r="AC96" s="846"/>
      <c r="AD96" s="846"/>
    </row>
    <row r="97" ht="63" customHeight="1">
      <c r="A97" s="845"/>
      <c r="B97" s="899">
        <v>80</v>
      </c>
      <c r="C97" s="843" t="s">
        <v>2213</v>
      </c>
      <c r="D97" s="967"/>
      <c r="E97" s="843"/>
      <c r="F97" s="843"/>
      <c r="G97" s="843"/>
      <c r="H97" s="891"/>
      <c r="I97" s="1005">
        <f>INDEX(TEMPLATE_NUMBER_POINT_FHD,B97,MATCH(TEMPLATE_SPHERE,TEMPLATE_SPHERE_LIST_FOR_NOTE,0))</f>
        <v>0</v>
      </c>
      <c r="J97" s="1005">
        <f>INDEX(TEMPLATE_DATA_POINT_FHD,B97,MATCH(TEMPLATE_SPHERE,TEMPLATE_SPHERE_LIST_FOR_NOTE,0))</f>
        <v>0</v>
      </c>
      <c r="K97" s="1005">
        <f>INDEX(TEMPLATE_NOTE_POINT_FHD,B97,MATCH(TEMPLATE_SPHERE,TEMPLATE_SPHERE_LIST_FOR_NOTE,0))</f>
        <v>0</v>
      </c>
      <c r="L97" s="844" t="str">
        <f>IF(I97=0,"",I97)</f>
        <v/>
      </c>
      <c r="M97" s="844" t="str">
        <f>IF(J97=0,"",J97)</f>
        <v/>
      </c>
      <c r="N97" s="844" t="str">
        <f>IF(K97=0,"",K97)</f>
        <v/>
      </c>
      <c r="O97" s="957" t="s">
        <v>1483</v>
      </c>
      <c r="P97" s="957"/>
      <c r="Q97" s="957"/>
      <c r="R97" s="957"/>
      <c r="S97" s="957"/>
      <c r="T97" s="843" t="s">
        <v>2214</v>
      </c>
      <c r="U97" s="843"/>
      <c r="V97" s="843"/>
      <c r="W97" s="843"/>
      <c r="X97" s="843"/>
      <c r="Y97" s="1000"/>
      <c r="Z97" s="846" t="s">
        <v>2215</v>
      </c>
      <c r="AA97" s="849"/>
      <c r="AB97" s="846"/>
      <c r="AC97" s="846"/>
      <c r="AD97" s="846"/>
    </row>
    <row r="98" ht="63" customHeight="1">
      <c r="A98" s="845"/>
      <c r="B98" s="899">
        <v>81</v>
      </c>
      <c r="C98" s="843" t="s">
        <v>2216</v>
      </c>
      <c r="D98" s="967"/>
      <c r="E98" s="843"/>
      <c r="F98" s="843"/>
      <c r="G98" s="843"/>
      <c r="H98" s="891"/>
      <c r="I98" s="1005">
        <f>INDEX(TEMPLATE_NUMBER_POINT_FHD,B98,MATCH(TEMPLATE_SPHERE,TEMPLATE_SPHERE_LIST_FOR_NOTE,0))</f>
        <v>0</v>
      </c>
      <c r="J98" s="1005">
        <f>INDEX(TEMPLATE_DATA_POINT_FHD,B98,MATCH(TEMPLATE_SPHERE,TEMPLATE_SPHERE_LIST_FOR_NOTE,0))</f>
        <v>0</v>
      </c>
      <c r="K98" s="1005">
        <f>INDEX(TEMPLATE_NOTE_POINT_FHD,B98,MATCH(TEMPLATE_SPHERE,TEMPLATE_SPHERE_LIST_FOR_NOTE,0))</f>
        <v>0</v>
      </c>
      <c r="L98" s="844" t="str">
        <f>IF(I98=0,"",I98)</f>
        <v/>
      </c>
      <c r="M98" s="844" t="str">
        <f>IF(J98=0,"",J98)</f>
        <v/>
      </c>
      <c r="N98" s="844" t="str">
        <f>IF(K98=0,"",K98)</f>
        <v/>
      </c>
      <c r="O98" s="957" t="s">
        <v>1497</v>
      </c>
      <c r="P98" s="957"/>
      <c r="Q98" s="957"/>
      <c r="R98" s="957"/>
      <c r="S98" s="957"/>
      <c r="T98" s="843" t="s">
        <v>2217</v>
      </c>
      <c r="U98" s="843"/>
      <c r="V98" s="843"/>
      <c r="W98" s="843"/>
      <c r="X98" s="843"/>
      <c r="Y98" s="1000"/>
      <c r="Z98" s="846" t="s">
        <v>2215</v>
      </c>
      <c r="AA98" s="849"/>
      <c r="AB98" s="846"/>
      <c r="AC98" s="846"/>
      <c r="AD98" s="846"/>
    </row>
    <row r="99" ht="90" customHeight="1">
      <c r="A99" s="845"/>
      <c r="B99" s="899">
        <v>82</v>
      </c>
      <c r="C99" s="843" t="s">
        <v>2218</v>
      </c>
      <c r="D99" s="967"/>
      <c r="E99" s="843"/>
      <c r="F99" s="843"/>
      <c r="G99" s="843"/>
      <c r="H99" s="891"/>
      <c r="I99" s="1005">
        <f>INDEX(TEMPLATE_NUMBER_POINT_FHD,B99,MATCH(TEMPLATE_SPHERE,TEMPLATE_SPHERE_LIST_FOR_NOTE,0))</f>
        <v>0</v>
      </c>
      <c r="J99" s="1005">
        <f>INDEX(TEMPLATE_DATA_POINT_FHD,B99,MATCH(TEMPLATE_SPHERE,TEMPLATE_SPHERE_LIST_FOR_NOTE,0))</f>
        <v>0</v>
      </c>
      <c r="K99" s="1005">
        <f>INDEX(TEMPLATE_NOTE_POINT_FHD,B99,MATCH(TEMPLATE_SPHERE,TEMPLATE_SPHERE_LIST_FOR_NOTE,0))</f>
        <v>0</v>
      </c>
      <c r="L99" s="844" t="str">
        <f>IF(I99=0,"",I99)</f>
        <v/>
      </c>
      <c r="M99" s="844" t="str">
        <f>IF(J99=0,"",J99)</f>
        <v/>
      </c>
      <c r="N99" s="844" t="str">
        <f>IF(K99=0,"",K99)</f>
        <v/>
      </c>
      <c r="O99" s="957" t="s">
        <v>1509</v>
      </c>
      <c r="P99" s="957"/>
      <c r="Q99" s="957"/>
      <c r="R99" s="957"/>
      <c r="S99" s="957"/>
      <c r="T99" s="843" t="s">
        <v>2219</v>
      </c>
      <c r="U99" s="843"/>
      <c r="V99" s="843"/>
      <c r="W99" s="843"/>
      <c r="X99" s="843"/>
      <c r="Y99" s="1000"/>
      <c r="Z99" s="846" t="s">
        <v>634</v>
      </c>
      <c r="AA99" s="849"/>
      <c r="AB99" s="846"/>
      <c r="AC99" s="846"/>
      <c r="AD99" s="846"/>
    </row>
    <row r="100" ht="27" customHeight="1">
      <c r="A100" s="845"/>
      <c r="B100" s="899">
        <v>83</v>
      </c>
      <c r="C100" s="843"/>
      <c r="D100" s="967"/>
      <c r="E100" s="843"/>
      <c r="F100" s="843"/>
      <c r="G100" s="843"/>
      <c r="H100" s="891"/>
      <c r="I100" s="1005">
        <f>INDEX(TEMPLATE_NUMBER_POINT_FHD,B100,MATCH(TEMPLATE_SPHERE,TEMPLATE_SPHERE_LIST_FOR_NOTE,0))</f>
        <v>0</v>
      </c>
      <c r="J100" s="1005">
        <f>INDEX(TEMPLATE_DATA_POINT_FHD,B100,MATCH(TEMPLATE_SPHERE,TEMPLATE_SPHERE_LIST_FOR_NOTE,0))</f>
        <v>0</v>
      </c>
      <c r="K100" s="1005">
        <f>INDEX(TEMPLATE_NOTE_POINT_FHD,B100,MATCH(TEMPLATE_SPHERE,TEMPLATE_SPHERE_LIST_FOR_NOTE,0))</f>
        <v>0</v>
      </c>
      <c r="L100" s="844" t="str">
        <f>IF(I100=0,"",I100)</f>
        <v/>
      </c>
      <c r="M100" s="844" t="str">
        <f>IF(J100=0,"",J100)</f>
        <v/>
      </c>
      <c r="N100" s="844" t="str">
        <f>IF(K100=0,"",K100)</f>
        <v/>
      </c>
      <c r="O100" s="957" t="s">
        <v>2220</v>
      </c>
      <c r="P100" s="957"/>
      <c r="Q100" s="957"/>
      <c r="R100" s="957"/>
      <c r="S100" s="957"/>
      <c r="T100" s="843" t="s">
        <v>2221</v>
      </c>
      <c r="U100" s="843"/>
      <c r="V100" s="843"/>
      <c r="W100" s="843"/>
      <c r="X100" s="843"/>
      <c r="Y100" s="1000"/>
      <c r="Z100" s="846" t="s">
        <v>634</v>
      </c>
      <c r="AA100" s="849"/>
      <c r="AB100" s="846"/>
      <c r="AC100" s="846"/>
      <c r="AD100" s="846"/>
    </row>
    <row r="101" ht="27" customHeight="1">
      <c r="A101" s="845"/>
      <c r="B101" s="899">
        <v>84</v>
      </c>
      <c r="C101" s="843"/>
      <c r="D101" s="967"/>
      <c r="E101" s="843"/>
      <c r="F101" s="843"/>
      <c r="G101" s="843"/>
      <c r="H101" s="891"/>
      <c r="I101" s="1005">
        <f>INDEX(TEMPLATE_NUMBER_POINT_FHD,B101,MATCH(TEMPLATE_SPHERE,TEMPLATE_SPHERE_LIST_FOR_NOTE,0))</f>
        <v>0</v>
      </c>
      <c r="J101" s="1005">
        <f>INDEX(TEMPLATE_DATA_POINT_FHD,B101,MATCH(TEMPLATE_SPHERE,TEMPLATE_SPHERE_LIST_FOR_NOTE,0))</f>
        <v>0</v>
      </c>
      <c r="K101" s="1005">
        <f>INDEX(TEMPLATE_NOTE_POINT_FHD,B101,MATCH(TEMPLATE_SPHERE,TEMPLATE_SPHERE_LIST_FOR_NOTE,0))</f>
        <v>0</v>
      </c>
      <c r="L101" s="844" t="str">
        <f>IF(I101=0,"",I101)</f>
        <v/>
      </c>
      <c r="M101" s="844" t="str">
        <f>IF(J101=0,"",J101)</f>
        <v/>
      </c>
      <c r="N101" s="844" t="str">
        <f>IF(K101=0,"",K101)</f>
        <v/>
      </c>
      <c r="O101" s="957" t="s">
        <v>2222</v>
      </c>
      <c r="P101" s="957"/>
      <c r="Q101" s="957"/>
      <c r="R101" s="957"/>
      <c r="S101" s="957"/>
      <c r="T101" s="843" t="s">
        <v>2223</v>
      </c>
      <c r="U101" s="843"/>
      <c r="V101" s="843"/>
      <c r="W101" s="843"/>
      <c r="X101" s="843"/>
      <c r="Y101" s="1000"/>
      <c r="Z101" s="846" t="s">
        <v>634</v>
      </c>
      <c r="AA101" s="849"/>
      <c r="AB101" s="846"/>
      <c r="AC101" s="846"/>
      <c r="AD101" s="846"/>
    </row>
    <row r="102" ht="9" customHeight="1">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r="103" ht="9" customHeight="1">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r="104" ht="9" customHeight="1">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r="105" ht="9" customHeight="1">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r="106" ht="9" customHeight="1">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r="107" ht="9" customHeight="1">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r="108" ht="9" customHeight="1">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r="109" ht="9" customHeight="1">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r="110" ht="9" customHeight="1">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r="111" ht="9" customHeight="1">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r="112" ht="9" customHeight="1">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r="113" ht="9" customHeight="1">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r="114" ht="9" customHeight="1">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r="115" ht="9" customHeight="1">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r="116" ht="9" customHeight="1">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r="117" ht="9" customHeight="1">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r="118" ht="9" customHeight="1">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r="119" ht="9" customHeight="1">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r="120" ht="9" customHeight="1">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r="121" ht="9" customHeight="1">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r="122" ht="9" customHeight="1">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r="123" ht="9" customHeight="1">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r="124" ht="9" customHeight="1">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r="125" ht="9" customHeight="1">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r="126" ht="9" customHeight="1">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r="127" ht="9" customHeight="1">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r="128" ht="9" customHeight="1">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r="129" ht="9" customHeight="1">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r="130" ht="9" customHeight="1">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r="131" ht="9" customHeight="1">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r="132" ht="9" customHeight="1">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r="133" ht="9" customHeight="1">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r="134" ht="9" customHeight="1">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r="135" ht="9" customHeight="1">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r="136" ht="9" customHeight="1">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r="137" ht="9" customHeight="1">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r="138" ht="9" customHeight="1">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r="139" ht="9" customHeight="1">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r="140" ht="9" customHeight="1">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r="141" ht="9" customHeight="1">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r="142" ht="9" customHeight="1">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r="143" ht="9" customHeight="1">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r="144" ht="9" customHeight="1">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r="145" ht="9" customHeight="1">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r="146" ht="9" customHeight="1">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r="147" ht="9" customHeight="1">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r="148" ht="90" customHeight="1">
      <c r="A148" s="845" t="s">
        <v>1663</v>
      </c>
      <c r="B148" s="845"/>
      <c r="C148" s="843" t="s">
        <v>2224</v>
      </c>
      <c r="D148" s="843" t="s">
        <v>1565</v>
      </c>
      <c r="E148" s="843" t="s">
        <v>1665</v>
      </c>
      <c r="F148" s="843" t="s">
        <v>2225</v>
      </c>
      <c r="G148" s="843"/>
      <c r="H148" s="843"/>
      <c r="I148" s="963"/>
      <c r="J148" s="963"/>
      <c r="K148" s="963"/>
      <c r="L148" s="963"/>
      <c r="M148" s="893" t="str">
        <f>IF(TEMPLATE_SPHERE="HEAT",T148,IF(TEMPLATE_SPHERE="TKO",X148,U148))</f>
        <v xml:space="preserve">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N148" s="848"/>
      <c r="O148" s="843"/>
      <c r="P148" s="844"/>
      <c r="Q148" s="844"/>
      <c r="R148" s="844"/>
      <c r="S148" s="843"/>
      <c r="T148" s="843" t="s">
        <v>2226</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 xml:space="preserve">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V148" s="844"/>
      <c r="W148" s="844"/>
      <c r="X148" s="843" t="s">
        <v>2227</v>
      </c>
      <c r="Y148" s="1000"/>
      <c r="Z148" s="846"/>
      <c r="AA148" s="849"/>
      <c r="AB148" s="846"/>
      <c r="AC148" s="846"/>
      <c r="AD148" s="846"/>
    </row>
    <row r="149" ht="9" customHeight="1">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r="150" ht="9" customHeight="1">
      <c r="A150" s="845" t="s">
        <v>1667</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r="151" ht="9" customHeight="1">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r="152" ht="9" customHeight="1">
      <c r="A152" s="845" t="s">
        <v>1670</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r="153" ht="9" customHeight="1">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r="154" ht="9" customHeight="1">
      <c r="A154" s="845" t="s">
        <v>1675</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autoFilter="0" deleteColumns="0" deleteRows="0" insertColumns="1" insertRows="0" sort="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69999999999999996" right="0.69999999999999996" top="0.75" bottom="0.75" header="0.29999999999999999" footer="0.29999999999999999"/>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sheetPr>
  <sheetViews>
    <sheetView showGridLines="0" topLeftCell="A1" workbookViewId="0">
      <selection activeCell="A1" sqref="A1"/>
    </sheetView>
  </sheetViews>
  <sheetFormatPr defaultColWidth="10.57421875" defaultRowHeight="14.25" customHeight="1"/>
  <cols>
    <col hidden="1" min="1" max="1" style="1366" width="10.57421875"/>
    <col customWidth="1" hidden="1" min="2" max="2" style="1366" width="11.00390625"/>
    <col hidden="1" min="3" max="3" style="1366" width="10.57421875"/>
    <col customWidth="1" hidden="1" min="4" max="4" style="1366" width="11.8515625"/>
    <col customWidth="1" hidden="1" min="5" max="5" style="1366" width="12.28125"/>
    <col customWidth="1" hidden="1" min="6" max="8" style="1776" width="12.28125"/>
    <col customWidth="1" min="9" max="9" style="2397" width="3.00390625"/>
    <col customWidth="1" min="10" max="11" style="344" width="3.00390625"/>
    <col customWidth="1" min="12" max="12" style="2407" width="12.00390625"/>
    <col customWidth="1" min="13" max="13" style="1635" width="31.00390625"/>
    <col customWidth="1" min="14" max="14" style="1635" width="1.00390625"/>
    <col customWidth="1" min="15" max="18" style="1635" width="24.00390625"/>
    <col customWidth="1" min="19" max="19" style="1635" width="11.00390625"/>
    <col customWidth="1" min="20" max="20" style="1635" width="3.7109375"/>
    <col customWidth="1" min="21" max="21" style="1635" width="11.00390625"/>
    <col customWidth="1" min="22" max="22" style="1635" width="8.57421875"/>
    <col customWidth="1" min="23" max="23" style="1635" width="4.00390625"/>
    <col customWidth="1" min="24" max="24" style="1635" width="115.00390625"/>
    <col customWidth="1" min="25" max="29" style="1642" width="10.00390625"/>
    <col hidden="1" min="30" max="30" style="1635" width="10.57421875"/>
  </cols>
  <sheetData>
    <row r="1" ht="22.5" hidden="1" customHeight="1">
      <c r="R1" s="327"/>
      <c r="S1" s="327"/>
      <c r="AD1" s="1155" t="s">
        <v>14</v>
      </c>
    </row>
    <row r="2" ht="14.25" hidden="1" customHeight="1">
      <c r="V2" s="327"/>
      <c r="AD2" s="1155">
        <v>0</v>
      </c>
    </row>
    <row r="3" ht="14.25" hidden="1" customHeight="1">
      <c r="AD3" s="1155">
        <v>0</v>
      </c>
    </row>
    <row r="4" ht="14.65" customHeight="1">
      <c r="J4" s="376"/>
      <c r="K4" s="376"/>
      <c r="L4" s="1275"/>
      <c r="M4" s="363"/>
      <c r="N4" s="363"/>
      <c r="O4" s="509"/>
      <c r="P4" s="509"/>
      <c r="Q4" s="509"/>
      <c r="R4" s="509"/>
      <c r="S4" s="509"/>
      <c r="T4" s="509"/>
      <c r="U4" s="509"/>
      <c r="V4" s="509"/>
      <c r="AD4" s="1155">
        <v>14</v>
      </c>
    </row>
    <row r="5" ht="67.200000000000003" customHeight="1">
      <c r="J5" s="376"/>
      <c r="K5" s="376"/>
      <c r="L5" s="2603" t="s">
        <v>2228</v>
      </c>
      <c r="M5" s="2603"/>
      <c r="N5" s="2603"/>
      <c r="O5" s="2603"/>
      <c r="P5" s="2603"/>
      <c r="Q5" s="2603"/>
      <c r="R5" s="2603"/>
      <c r="S5" s="2603"/>
      <c r="T5" s="2603"/>
      <c r="U5" s="2603"/>
      <c r="V5" s="1243"/>
      <c r="AD5" s="1155">
        <v>64</v>
      </c>
    </row>
    <row r="6" ht="14.65" customHeight="1">
      <c r="J6" s="376"/>
      <c r="K6" s="376"/>
      <c r="L6" s="2604" t="str">
        <f>IF(org=0,"Не определено",org)</f>
        <v xml:space="preserve">филиал ПАО "ОГК-2" - Рязанская ГРЭС</v>
      </c>
      <c r="M6" s="2604"/>
      <c r="N6" s="2604"/>
      <c r="O6" s="2604"/>
      <c r="P6" s="2604"/>
      <c r="Q6" s="2604"/>
      <c r="R6" s="2604"/>
      <c r="S6" s="2604"/>
      <c r="T6" s="2604"/>
      <c r="U6" s="2604"/>
      <c r="V6" s="1243"/>
      <c r="AD6" s="1155">
        <v>14</v>
      </c>
    </row>
    <row r="7" ht="14.65" customHeight="1">
      <c r="J7" s="376"/>
      <c r="K7" s="376"/>
      <c r="L7" s="1275"/>
      <c r="M7" s="363"/>
      <c r="N7" s="363"/>
      <c r="O7" s="322"/>
      <c r="P7" s="322"/>
      <c r="Q7" s="322"/>
      <c r="R7" s="322"/>
      <c r="S7" s="322"/>
      <c r="T7" s="322"/>
      <c r="U7" s="322"/>
      <c r="V7" s="322"/>
      <c r="W7" s="509"/>
      <c r="AD7" s="1155">
        <v>14</v>
      </c>
    </row>
    <row r="8" s="1853" customFormat="1" ht="48.25" customHeight="1">
      <c r="A8" s="1368"/>
      <c r="B8" s="1368"/>
      <c r="C8" s="1368"/>
      <c r="D8" s="1368"/>
      <c r="E8" s="1368"/>
      <c r="F8" s="1368"/>
      <c r="G8" s="1368"/>
      <c r="H8" s="1368"/>
      <c r="L8" s="1276"/>
      <c r="M8" s="295" t="s">
        <v>42</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r="9" s="1853" customFormat="1" ht="24" customHeight="1">
      <c r="A9" s="1368"/>
      <c r="B9" s="1368"/>
      <c r="C9" s="1368"/>
      <c r="D9" s="1368"/>
      <c r="E9" s="1368"/>
      <c r="F9" s="1368"/>
      <c r="G9" s="1368"/>
      <c r="H9" s="1368"/>
      <c r="L9" s="1276"/>
      <c r="M9" s="295" t="s">
        <v>425</v>
      </c>
      <c r="N9" s="304"/>
      <c r="O9" s="2251" t="str">
        <f>IF(TITLE_DATE_CHANGE_PERIOD="",IF(TITLE_DATE_PR="","",TITLE_DATE_PR),TITLE_DATE_CHANGE_PERIOD)</f>
        <v/>
      </c>
      <c r="P9" s="2251"/>
      <c r="Q9" s="2251"/>
      <c r="R9" s="2251"/>
      <c r="S9" s="2251"/>
      <c r="T9" s="2251"/>
      <c r="U9" s="2251"/>
      <c r="V9" s="326"/>
      <c r="W9" s="326"/>
      <c r="X9" s="280"/>
      <c r="Y9" s="368"/>
      <c r="Z9" s="368"/>
      <c r="AA9" s="368"/>
      <c r="AB9" s="368"/>
      <c r="AC9" s="368"/>
      <c r="AD9" s="418">
        <v>23</v>
      </c>
    </row>
    <row r="10" s="1853" customFormat="1" ht="24" customHeight="1">
      <c r="A10" s="1368"/>
      <c r="B10" s="1368"/>
      <c r="C10" s="1368"/>
      <c r="D10" s="1368"/>
      <c r="E10" s="1368"/>
      <c r="F10" s="1368"/>
      <c r="G10" s="1368"/>
      <c r="H10" s="1368"/>
      <c r="L10" s="1250"/>
      <c r="M10" s="295" t="s">
        <v>426</v>
      </c>
      <c r="N10" s="304"/>
      <c r="O10" s="2251" t="str">
        <f>IF(TITLE_NUMBER_PR_CHANGE="",IF(TITLE_NUMBER_PR="","",TITLE_NUMBER_PR),TITLE_NUMBER_PR_CHANGE)</f>
        <v/>
      </c>
      <c r="P10" s="2251"/>
      <c r="Q10" s="2251"/>
      <c r="R10" s="2251"/>
      <c r="S10" s="2251"/>
      <c r="T10" s="2251"/>
      <c r="U10" s="2251"/>
      <c r="V10" s="326"/>
      <c r="W10" s="326"/>
      <c r="X10" s="280"/>
      <c r="Y10" s="368"/>
      <c r="Z10" s="368"/>
      <c r="AA10" s="368"/>
      <c r="AB10" s="368"/>
      <c r="AC10" s="368"/>
      <c r="AD10" s="418">
        <v>23</v>
      </c>
    </row>
    <row r="11" s="1853" customFormat="1" ht="24" customHeight="1">
      <c r="A11" s="1368"/>
      <c r="B11" s="1368"/>
      <c r="C11" s="1368"/>
      <c r="D11" s="1368"/>
      <c r="E11" s="1368"/>
      <c r="F11" s="1368"/>
      <c r="G11" s="1368"/>
      <c r="H11" s="1368"/>
      <c r="L11" s="1250"/>
      <c r="M11" s="295" t="s">
        <v>43</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r="12" s="1853" customFormat="1" ht="11.25" hidden="1" customHeight="1">
      <c r="A12" s="1368"/>
      <c r="B12" s="1368"/>
      <c r="C12" s="1368"/>
      <c r="D12" s="1368"/>
      <c r="E12" s="1368"/>
      <c r="F12" s="1368"/>
      <c r="G12" s="1368"/>
      <c r="H12" s="1368"/>
      <c r="L12" s="2605"/>
      <c r="M12" s="2605"/>
      <c r="N12" s="1287"/>
      <c r="O12" s="326"/>
      <c r="P12" s="326"/>
      <c r="Q12" s="326"/>
      <c r="R12" s="326"/>
      <c r="S12" s="326"/>
      <c r="T12" s="326"/>
      <c r="U12" s="326"/>
      <c r="V12" s="278" t="s">
        <v>429</v>
      </c>
      <c r="Y12" s="368"/>
      <c r="Z12" s="368"/>
      <c r="AA12" s="368"/>
      <c r="AB12" s="368"/>
      <c r="AC12" s="368"/>
      <c r="AD12" s="418">
        <v>0</v>
      </c>
    </row>
    <row r="13" ht="14.65" customHeight="1">
      <c r="J13" s="376"/>
      <c r="K13" s="376"/>
      <c r="L13" s="1275"/>
      <c r="M13" s="363"/>
      <c r="N13" s="1244"/>
      <c r="O13" s="2252"/>
      <c r="P13" s="2252"/>
      <c r="Q13" s="2252"/>
      <c r="R13" s="2252"/>
      <c r="S13" s="2252"/>
      <c r="T13" s="2252"/>
      <c r="U13" s="2252"/>
      <c r="V13" s="2252"/>
      <c r="AD13" s="1155">
        <v>14</v>
      </c>
    </row>
    <row r="14" ht="14.65" customHeight="1">
      <c r="J14" s="376"/>
      <c r="K14" s="376"/>
      <c r="L14" s="2127" t="s">
        <v>302</v>
      </c>
      <c r="M14" s="2127"/>
      <c r="N14" s="2127"/>
      <c r="O14" s="2127"/>
      <c r="P14" s="2127"/>
      <c r="Q14" s="2127"/>
      <c r="R14" s="2127"/>
      <c r="S14" s="2127"/>
      <c r="T14" s="2127"/>
      <c r="U14" s="2127"/>
      <c r="V14" s="2127"/>
      <c r="W14" s="2127"/>
      <c r="X14" s="2127" t="s">
        <v>303</v>
      </c>
      <c r="AD14" s="1155">
        <v>14</v>
      </c>
    </row>
    <row r="15" ht="14.65" customHeight="1">
      <c r="J15" s="376"/>
      <c r="K15" s="376"/>
      <c r="L15" s="2273" t="s">
        <v>87</v>
      </c>
      <c r="M15" s="2209" t="s">
        <v>430</v>
      </c>
      <c r="N15" s="301"/>
      <c r="O15" s="2274" t="s">
        <v>2229</v>
      </c>
      <c r="P15" s="2275"/>
      <c r="Q15" s="2275"/>
      <c r="R15" s="2275"/>
      <c r="S15" s="2275"/>
      <c r="T15" s="2275"/>
      <c r="U15" s="2276"/>
      <c r="V15" s="2277" t="s">
        <v>432</v>
      </c>
      <c r="W15" s="2280" t="s">
        <v>1148</v>
      </c>
      <c r="X15" s="2127"/>
      <c r="AD15" s="1155">
        <v>14</v>
      </c>
    </row>
    <row r="16" ht="35.649999999999999" customHeight="1">
      <c r="J16" s="376"/>
      <c r="K16" s="376"/>
      <c r="L16" s="2273"/>
      <c r="M16" s="2209"/>
      <c r="N16" s="1031"/>
      <c r="O16" s="2260" t="s">
        <v>435</v>
      </c>
      <c r="P16" s="2260" t="s">
        <v>436</v>
      </c>
      <c r="Q16" s="2262" t="s">
        <v>437</v>
      </c>
      <c r="R16" s="2263"/>
      <c r="S16" s="2262" t="s">
        <v>451</v>
      </c>
      <c r="T16" s="2269"/>
      <c r="U16" s="2263"/>
      <c r="V16" s="2278"/>
      <c r="W16" s="2281"/>
      <c r="X16" s="2127"/>
      <c r="AD16" s="1155">
        <v>34</v>
      </c>
    </row>
    <row r="17" ht="35.649999999999999" customHeight="1">
      <c r="A17" s="1370" t="s">
        <v>138</v>
      </c>
      <c r="B17" s="1370" t="s">
        <v>139</v>
      </c>
      <c r="C17" s="1370" t="s">
        <v>140</v>
      </c>
      <c r="D17" s="1370" t="s">
        <v>141</v>
      </c>
      <c r="E17" s="1370"/>
      <c r="J17" s="376"/>
      <c r="K17" s="376"/>
      <c r="L17" s="2273"/>
      <c r="M17" s="2209"/>
      <c r="N17" s="302"/>
      <c r="O17" s="2261"/>
      <c r="P17" s="2261"/>
      <c r="Q17" s="1222" t="s">
        <v>446</v>
      </c>
      <c r="R17" s="1222" t="s">
        <v>447</v>
      </c>
      <c r="S17" s="1292" t="s">
        <v>448</v>
      </c>
      <c r="T17" s="2270" t="s">
        <v>449</v>
      </c>
      <c r="U17" s="2271"/>
      <c r="V17" s="2279"/>
      <c r="W17" s="2282"/>
      <c r="X17" s="2127"/>
      <c r="AD17" s="1155">
        <v>34</v>
      </c>
    </row>
    <row r="18" s="1641" customFormat="1" ht="11.5" customHeight="1">
      <c r="A18" s="1370"/>
      <c r="B18" s="1370"/>
      <c r="C18" s="1370"/>
      <c r="D18" s="1370"/>
      <c r="E18" s="1370"/>
      <c r="F18" s="1362"/>
      <c r="G18" s="1362"/>
      <c r="H18" s="1362"/>
      <c r="I18" s="1246"/>
      <c r="J18" s="1247"/>
      <c r="K18" s="1254">
        <v>1</v>
      </c>
      <c r="L18" s="1277" t="s">
        <v>109</v>
      </c>
      <c r="M18" s="1255" t="s">
        <v>110</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r="19" ht="21" customHeight="1">
      <c r="A19" s="1363" t="s">
        <v>172</v>
      </c>
      <c r="B19" s="1363" t="s">
        <v>173</v>
      </c>
      <c r="C19" s="1363" t="s">
        <v>174</v>
      </c>
      <c r="D19" s="1363" t="s">
        <v>175</v>
      </c>
      <c r="E19" s="1363"/>
      <c r="F19" s="1365"/>
      <c r="G19" s="1365"/>
      <c r="H19" s="1365"/>
      <c r="I19" s="361"/>
      <c r="J19" s="360"/>
      <c r="K19" s="355"/>
      <c r="L19" s="1293">
        <f>INDEX(PT_DIFFERENTIATION_NUM_NTAR,MATCH(A19,PT_DIFFERENTIATION_NTAR_ID,0))</f>
        <v>0</v>
      </c>
      <c r="M19" s="298" t="s">
        <v>127</v>
      </c>
      <c r="N19" s="300"/>
      <c r="O19" s="2606" t="str">
        <f>INDEX(PT_DIFFERENTIATION_NTAR,MATCH(A19,PT_DIFFERENTIATION_NTAR_ID,0))</f>
        <v/>
      </c>
      <c r="P19" s="2606"/>
      <c r="Q19" s="2606"/>
      <c r="R19" s="2606"/>
      <c r="S19" s="2606"/>
      <c r="T19" s="2606"/>
      <c r="U19" s="2606"/>
      <c r="V19" s="2606"/>
      <c r="W19" s="2606"/>
      <c r="X19" s="1258" t="s">
        <v>398</v>
      </c>
      <c r="Z19" s="500"/>
      <c r="AA19" s="500" t="str">
        <f>IF(M19="","",M19)</f>
        <v xml:space="preserve">Наименование тарифа</v>
      </c>
      <c r="AB19" s="500"/>
      <c r="AC19" s="500"/>
      <c r="AD19" s="1155">
        <v>20</v>
      </c>
    </row>
    <row r="20" ht="21" customHeight="1">
      <c r="A20" s="1363" t="s">
        <v>172</v>
      </c>
      <c r="B20" s="1363" t="s">
        <v>173</v>
      </c>
      <c r="C20" s="1363" t="s">
        <v>174</v>
      </c>
      <c r="D20" s="1363" t="s">
        <v>175</v>
      </c>
      <c r="E20" s="1363"/>
      <c r="F20" s="1365"/>
      <c r="G20" s="1365"/>
      <c r="H20" s="1365"/>
      <c r="I20" s="1290"/>
      <c r="J20" s="352"/>
      <c r="K20" s="353"/>
      <c r="L20" s="1293" t="str">
        <f>INDEX(PT_DIFFERENTIATION_NUM_TER,MATCH(B19,PT_DIFFERENTIATION_TER_ID,0))</f>
        <v>.</v>
      </c>
      <c r="M20" s="308" t="s">
        <v>399</v>
      </c>
      <c r="N20" s="300"/>
      <c r="O20" s="2606" t="str">
        <f>INDEX(PT_DIFFERENTIATION_TER,MATCH(B19,PT_DIFFERENTIATION_TER_ID,0))</f>
        <v/>
      </c>
      <c r="P20" s="2606"/>
      <c r="Q20" s="2606"/>
      <c r="R20" s="2606"/>
      <c r="S20" s="2606"/>
      <c r="T20" s="2606"/>
      <c r="U20" s="2606"/>
      <c r="V20" s="2606"/>
      <c r="W20" s="2606"/>
      <c r="X20" s="1258" t="s">
        <v>400</v>
      </c>
      <c r="Z20" s="500"/>
      <c r="AA20" s="500" t="str">
        <f>IF(M20="","",M20)</f>
        <v xml:space="preserve">Территория действия тарифа</v>
      </c>
      <c r="AB20" s="500"/>
      <c r="AC20" s="500"/>
      <c r="AD20" s="1155">
        <v>20</v>
      </c>
    </row>
    <row r="21" ht="24" customHeight="1">
      <c r="A21" s="1363" t="s">
        <v>172</v>
      </c>
      <c r="B21" s="1363" t="s">
        <v>173</v>
      </c>
      <c r="C21" s="1363" t="s">
        <v>174</v>
      </c>
      <c r="D21" s="1363" t="s">
        <v>175</v>
      </c>
      <c r="E21" s="1363"/>
      <c r="F21" s="1365"/>
      <c r="G21" s="1365"/>
      <c r="H21" s="1365"/>
      <c r="I21" s="354"/>
      <c r="J21" s="352"/>
      <c r="K21" s="353"/>
      <c r="L21" s="1293" t="str">
        <f>INDEX(PT_DIFFERENTIATION_NUM_CS,MATCH(C19,PT_DIFFERENTIATION_CS_ID,0))</f>
        <v>..</v>
      </c>
      <c r="M21" s="309" t="s">
        <v>401</v>
      </c>
      <c r="N21" s="300"/>
      <c r="O21" s="2606" t="str">
        <f>INDEX(PT_DIFFERENTIATION_CS,MATCH(C19,PT_DIFFERENTIATION_CS_ID,0))</f>
        <v/>
      </c>
      <c r="P21" s="2606"/>
      <c r="Q21" s="2606"/>
      <c r="R21" s="2606"/>
      <c r="S21" s="2606"/>
      <c r="T21" s="2606"/>
      <c r="U21" s="2606"/>
      <c r="V21" s="2606"/>
      <c r="W21" s="2606"/>
      <c r="X21" s="1258" t="s">
        <v>402</v>
      </c>
      <c r="Z21" s="500"/>
      <c r="AA21" s="500" t="str">
        <f>IF(M21="","",M21)</f>
        <v xml:space="preserve">Наименование системы теплоснабжения</v>
      </c>
      <c r="AB21" s="500"/>
      <c r="AC21" s="500"/>
      <c r="AD21" s="1155">
        <v>23</v>
      </c>
    </row>
    <row r="22" ht="21" customHeight="1">
      <c r="A22" s="1363" t="s">
        <v>172</v>
      </c>
      <c r="B22" s="1363" t="s">
        <v>173</v>
      </c>
      <c r="C22" s="1363" t="s">
        <v>174</v>
      </c>
      <c r="D22" s="1363" t="s">
        <v>175</v>
      </c>
      <c r="E22" s="1363"/>
      <c r="F22" s="1365"/>
      <c r="G22" s="1365"/>
      <c r="H22" s="1365"/>
      <c r="I22" s="354"/>
      <c r="J22" s="352"/>
      <c r="K22" s="353"/>
      <c r="L22" s="1293" t="str">
        <f>INDEX(PT_DIFFERENTIATION_NUM_IST_TE,MATCH(D19,PT_DIFFERENTIATION_IST_TE_ID,0))</f>
        <v>...</v>
      </c>
      <c r="M22" s="310" t="s">
        <v>403</v>
      </c>
      <c r="N22" s="300"/>
      <c r="O22" s="2606" t="str">
        <f>INDEX(PT_DIFFERENTIATION_IST_TE,MATCH(D19,PT_DIFFERENTIATION_IST_TE_ID,0))</f>
        <v/>
      </c>
      <c r="P22" s="2606"/>
      <c r="Q22" s="2606"/>
      <c r="R22" s="2606"/>
      <c r="S22" s="2606"/>
      <c r="T22" s="2606"/>
      <c r="U22" s="2606"/>
      <c r="V22" s="2606"/>
      <c r="W22" s="2606"/>
      <c r="X22" s="1258" t="s">
        <v>404</v>
      </c>
      <c r="Z22" s="500"/>
      <c r="AA22" s="500" t="str">
        <f>IF(M22="","",M22)</f>
        <v xml:space="preserve">Источник тепловой энергии</v>
      </c>
      <c r="AB22" s="500"/>
      <c r="AC22" s="500"/>
      <c r="AD22" s="1155">
        <v>20</v>
      </c>
    </row>
    <row r="23" ht="96.75" customHeight="1">
      <c r="A23" s="1363" t="s">
        <v>172</v>
      </c>
      <c r="B23" s="1363" t="s">
        <v>173</v>
      </c>
      <c r="C23" s="1363" t="s">
        <v>174</v>
      </c>
      <c r="D23" s="1363" t="s">
        <v>175</v>
      </c>
      <c r="E23" s="1363"/>
      <c r="F23" s="2607" t="str">
        <f>L22&amp;".1"</f>
        <v>....1</v>
      </c>
      <c r="I23" s="2257">
        <v>1</v>
      </c>
      <c r="J23" s="1291"/>
      <c r="K23" s="356"/>
      <c r="L23" s="1293" t="str">
        <f>$F$23</f>
        <v>....1</v>
      </c>
      <c r="M23" s="285" t="s">
        <v>406</v>
      </c>
      <c r="N23" s="300"/>
      <c r="O23" s="2305"/>
      <c r="P23" s="2305"/>
      <c r="Q23" s="2305"/>
      <c r="R23" s="2305"/>
      <c r="S23" s="2305"/>
      <c r="T23" s="2305"/>
      <c r="U23" s="2305"/>
      <c r="V23" s="2305"/>
      <c r="W23" s="2305"/>
      <c r="X23" s="1258" t="s">
        <v>407</v>
      </c>
      <c r="Z23" s="500"/>
      <c r="AA23" s="500" t="str">
        <f>IF(M23="","",M23)</f>
        <v xml:space="preserve">Схема подключения теплопотребляющей установки к коллектору источника тепловой энергии</v>
      </c>
      <c r="AB23" s="500"/>
      <c r="AC23" s="500"/>
      <c r="AD23" s="1155">
        <v>92</v>
      </c>
    </row>
    <row r="24" ht="86.25" customHeight="1">
      <c r="A24" s="1363" t="s">
        <v>172</v>
      </c>
      <c r="B24" s="1363" t="s">
        <v>173</v>
      </c>
      <c r="C24" s="1363" t="s">
        <v>174</v>
      </c>
      <c r="D24" s="1363" t="s">
        <v>175</v>
      </c>
      <c r="E24" s="1363"/>
      <c r="F24" s="2607"/>
      <c r="G24" s="2217" t="str">
        <f>F23&amp;".1"</f>
        <v>....1.1</v>
      </c>
      <c r="I24" s="2257"/>
      <c r="J24" s="2257">
        <v>1</v>
      </c>
      <c r="K24" s="357"/>
      <c r="L24" s="1293" t="str">
        <f>$G$24</f>
        <v>....1.1</v>
      </c>
      <c r="M24" s="286" t="s">
        <v>409</v>
      </c>
      <c r="N24" s="300"/>
      <c r="O24" s="2245"/>
      <c r="P24" s="2246"/>
      <c r="Q24" s="2246"/>
      <c r="R24" s="2246"/>
      <c r="S24" s="2246"/>
      <c r="T24" s="2246"/>
      <c r="U24" s="2246"/>
      <c r="V24" s="2246"/>
      <c r="W24" s="2247"/>
      <c r="X24" s="1258" t="s">
        <v>410</v>
      </c>
      <c r="Z24" s="500"/>
      <c r="AA24" s="500" t="str">
        <f>IF(M24="","",M24)</f>
        <v xml:space="preserve">Группа потребителей</v>
      </c>
      <c r="AB24" s="500"/>
      <c r="AC24" s="500"/>
      <c r="AD24" s="1155">
        <v>82</v>
      </c>
    </row>
    <row r="25" ht="11.5" customHeight="1">
      <c r="A25" s="1363" t="s">
        <v>172</v>
      </c>
      <c r="B25" s="1363" t="s">
        <v>173</v>
      </c>
      <c r="C25" s="1363" t="s">
        <v>174</v>
      </c>
      <c r="D25" s="1363" t="s">
        <v>175</v>
      </c>
      <c r="E25" s="1363"/>
      <c r="F25" s="2607"/>
      <c r="G25" s="2217"/>
      <c r="H25" s="2217" t="str">
        <f>G24&amp;".1"</f>
        <v>....1.1.1</v>
      </c>
      <c r="I25" s="2257"/>
      <c r="J25" s="2257"/>
      <c r="K25" s="357">
        <v>1</v>
      </c>
      <c r="L25" s="1293" t="str">
        <f>$H$25</f>
        <v>....1.1.1</v>
      </c>
      <c r="M25" s="1347"/>
      <c r="N25" s="300"/>
      <c r="O25" s="751"/>
      <c r="P25" s="325"/>
      <c r="Q25" s="751"/>
      <c r="R25" s="1257"/>
      <c r="S25" s="2602"/>
      <c r="T25" s="2107" t="s">
        <v>65</v>
      </c>
      <c r="U25" s="2602"/>
      <c r="V25" s="2107" t="s">
        <v>19</v>
      </c>
      <c r="W25" s="325"/>
      <c r="X25" s="2253" t="s">
        <v>412</v>
      </c>
      <c r="Y25" s="511">
        <f>STRCHECKDATE(O26:W26)</f>
      </c>
      <c r="Z25" s="500"/>
      <c r="AA25" s="500" t="str">
        <f>IF(M25="","",M25)</f>
        <v/>
      </c>
      <c r="AB25" s="500"/>
      <c r="AC25" s="500"/>
      <c r="AD25" s="1155">
        <v>11</v>
      </c>
    </row>
    <row r="26" ht="11.5" customHeight="1">
      <c r="A26" s="1363" t="s">
        <v>172</v>
      </c>
      <c r="B26" s="1363" t="s">
        <v>173</v>
      </c>
      <c r="C26" s="1363" t="s">
        <v>174</v>
      </c>
      <c r="D26" s="1363" t="s">
        <v>175</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r="27" ht="15.75" customHeight="1">
      <c r="A27" s="1363" t="s">
        <v>172</v>
      </c>
      <c r="B27" s="1363" t="s">
        <v>173</v>
      </c>
      <c r="C27" s="1363" t="s">
        <v>174</v>
      </c>
      <c r="D27" s="1363" t="s">
        <v>175</v>
      </c>
      <c r="E27" s="1363"/>
      <c r="F27" s="2607"/>
      <c r="G27" s="2217"/>
      <c r="I27" s="2257"/>
      <c r="J27" s="2257"/>
      <c r="K27" s="356"/>
      <c r="L27" s="1278"/>
      <c r="M27" s="288" t="s">
        <v>413</v>
      </c>
      <c r="N27" s="367"/>
      <c r="O27" s="367"/>
      <c r="P27" s="367"/>
      <c r="Q27" s="367"/>
      <c r="R27" s="367"/>
      <c r="S27" s="367"/>
      <c r="T27" s="367"/>
      <c r="U27" s="367"/>
      <c r="V27" s="367"/>
      <c r="W27" s="324"/>
      <c r="X27" s="2255"/>
      <c r="Z27" s="500"/>
      <c r="AA27" s="500" t="str">
        <f>IF(M27="","",M27)</f>
        <v xml:space="preserve">Добавить вид теплоносителя (параметры теплоносителя)</v>
      </c>
      <c r="AB27" s="500"/>
      <c r="AC27" s="500"/>
      <c r="AD27" s="1155">
        <v>15</v>
      </c>
    </row>
    <row r="28" ht="15.75" customHeight="1">
      <c r="A28" s="1363" t="s">
        <v>172</v>
      </c>
      <c r="B28" s="1363" t="s">
        <v>173</v>
      </c>
      <c r="C28" s="1363" t="s">
        <v>174</v>
      </c>
      <c r="D28" s="1363" t="s">
        <v>175</v>
      </c>
      <c r="E28" s="1363"/>
      <c r="F28" s="2607"/>
      <c r="I28" s="2257"/>
      <c r="J28" s="1291"/>
      <c r="K28" s="356"/>
      <c r="L28" s="1278"/>
      <c r="M28" s="287" t="s">
        <v>414</v>
      </c>
      <c r="N28" s="367"/>
      <c r="O28" s="367"/>
      <c r="P28" s="367"/>
      <c r="Q28" s="367"/>
      <c r="R28" s="367"/>
      <c r="S28" s="367"/>
      <c r="T28" s="367"/>
      <c r="U28" s="367"/>
      <c r="V28" s="366"/>
      <c r="W28" s="367"/>
      <c r="X28" s="303"/>
      <c r="Z28" s="500"/>
      <c r="AA28" s="500" t="str">
        <f>IF(M28="","",M28)</f>
        <v xml:space="preserve">Добавить группу потребителей</v>
      </c>
      <c r="AB28" s="500"/>
      <c r="AC28" s="500"/>
      <c r="AD28" s="1155">
        <v>15</v>
      </c>
    </row>
    <row r="29" ht="14.65" customHeight="1">
      <c r="A29" s="1363" t="s">
        <v>172</v>
      </c>
      <c r="B29" s="1363" t="s">
        <v>173</v>
      </c>
      <c r="C29" s="1363" t="s">
        <v>174</v>
      </c>
      <c r="D29" s="1363" t="s">
        <v>175</v>
      </c>
      <c r="E29" s="1363"/>
      <c r="F29" s="1365"/>
      <c r="G29" s="1365"/>
      <c r="H29" s="537"/>
      <c r="I29" s="360"/>
      <c r="J29" s="375"/>
      <c r="K29" s="355"/>
      <c r="L29" s="1278"/>
      <c r="M29" s="365" t="s">
        <v>415</v>
      </c>
      <c r="N29" s="367"/>
      <c r="O29" s="367"/>
      <c r="P29" s="367"/>
      <c r="Q29" s="367"/>
      <c r="R29" s="367"/>
      <c r="S29" s="367"/>
      <c r="T29" s="367"/>
      <c r="U29" s="367"/>
      <c r="V29" s="366"/>
      <c r="W29" s="367"/>
      <c r="X29" s="303"/>
      <c r="Z29" s="500"/>
      <c r="AA29" s="500" t="str">
        <f>IF(M29="","",M29)</f>
        <v xml:space="preserve">Добавить схему подключения</v>
      </c>
      <c r="AB29" s="500"/>
      <c r="AC29" s="500"/>
      <c r="AD29" s="1155">
        <v>14</v>
      </c>
    </row>
    <row r="30" ht="14.65" customHeight="1">
      <c r="A30" s="1363" t="s">
        <v>172</v>
      </c>
      <c r="B30" s="1363" t="s">
        <v>173</v>
      </c>
      <c r="C30" s="1363" t="s">
        <v>174</v>
      </c>
      <c r="D30" s="1363"/>
      <c r="E30" s="1363" t="s">
        <v>588</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r="31" ht="14.65" customHeight="1">
      <c r="A31" s="1363" t="s">
        <v>172</v>
      </c>
      <c r="B31" s="1363" t="s">
        <v>173</v>
      </c>
      <c r="C31" s="1363"/>
      <c r="D31" s="1363"/>
      <c r="E31" s="1363" t="s">
        <v>2230</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r="32" ht="14.65" customHeight="1">
      <c r="A32" s="1363" t="s">
        <v>2231</v>
      </c>
      <c r="B32" s="1363"/>
      <c r="C32" s="1363"/>
      <c r="D32" s="1363"/>
      <c r="E32" s="1363" t="s">
        <v>104</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r="33" s="1850" customFormat="1" ht="11.5" customHeight="1">
      <c r="A33" s="1363"/>
      <c r="B33" s="1363"/>
      <c r="C33" s="1363"/>
      <c r="D33" s="1363"/>
      <c r="E33" s="1363" t="s">
        <v>450</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r="34" ht="11.5" customHeight="1">
      <c r="F34" s="1160"/>
      <c r="G34" s="1160"/>
      <c r="H34" s="537"/>
      <c r="I34" s="1155"/>
      <c r="J34" s="1155"/>
      <c r="K34" s="1155"/>
      <c r="Y34" s="1155"/>
      <c r="Z34" s="1155"/>
      <c r="AA34" s="1155"/>
      <c r="AB34" s="1155"/>
      <c r="AC34" s="1155"/>
      <c r="AD34" s="1155">
        <v>11</v>
      </c>
    </row>
    <row r="35" ht="28.5" customHeight="1">
      <c r="H35" s="537"/>
      <c r="L35" s="1288" t="s">
        <v>806</v>
      </c>
      <c r="M35" s="2285" t="s">
        <v>2232</v>
      </c>
      <c r="N35" s="2285"/>
      <c r="O35" s="2285"/>
      <c r="P35" s="2285"/>
      <c r="Q35" s="2285"/>
      <c r="R35" s="2285"/>
      <c r="S35" s="2285"/>
      <c r="T35" s="2285"/>
      <c r="U35" s="2285"/>
      <c r="V35" s="2285"/>
      <c r="W35" s="2285"/>
      <c r="X35" s="2285"/>
      <c r="AD35" s="1155">
        <v>27</v>
      </c>
    </row>
    <row r="36" ht="109.2" customHeight="1">
      <c r="H36" s="537"/>
      <c r="I36" s="1303"/>
      <c r="M36" s="2285" t="s">
        <v>2233</v>
      </c>
      <c r="N36" s="2285"/>
      <c r="O36" s="2285"/>
      <c r="P36" s="2285"/>
      <c r="Q36" s="2285"/>
      <c r="R36" s="2285"/>
      <c r="S36" s="2285"/>
      <c r="T36" s="2285"/>
      <c r="U36" s="2285"/>
      <c r="V36" s="2285"/>
      <c r="W36" s="2285"/>
      <c r="X36" s="2285"/>
      <c r="AD36" s="1155">
        <v>104</v>
      </c>
    </row>
    <row r="37" ht="14.65" customHeight="1">
      <c r="H37" s="537"/>
      <c r="AD37" s="1155">
        <v>14</v>
      </c>
    </row>
    <row r="38" ht="14.65" customHeight="1">
      <c r="H38" s="537"/>
      <c r="AD38" s="1155">
        <v>14</v>
      </c>
    </row>
    <row r="39" ht="14.65" customHeight="1">
      <c r="H39" s="537"/>
      <c r="AD39" s="1155">
        <v>14</v>
      </c>
    </row>
    <row r="40" ht="14.65" customHeight="1">
      <c r="H40" s="537"/>
      <c r="AD40" s="1155">
        <v>14</v>
      </c>
    </row>
    <row r="41" ht="22.5" hidden="1" customHeight="1">
      <c r="A41" s="1160" t="s">
        <v>81</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autoFilter="0" deleteColumns="0" deleteRows="0" formatColumns="0" formatRows="0" insertColumns="1" insertRows="0" sort="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4">
    <dataValidation sqref="S65561 S131097 S196633 S262169 S327705 S393241 S458777 S524313 S589849 S655385 S720921 S786457 S851993 S917529 S983065 U65561 U131097 U196633 U262169 U327705 U393241 U458777 U524313 U589849 U655385 U720921 U786457 U851993 U917529 U983065 U25 S25" allowBlank="1" prompt="Выберите дату из календаря (иконка справа от указанной ячейки), либо введите дату непосредственно в ячейку в формате - 'ДД.ММ.ГГГГ'." showErrorMessage="1" showInputMessage="1"/>
    <dataValidation sqref="T65561 T131097 T196633 T262169 T327705 T393241 T458777 T524313 T589849 T655385 T720921 T786457 T851993 T917529 T983065 V589849 V655385 V720921 V786457 V851993 V917529 V983065 V65561 V131097 V458777 V196633 V262169 V327705 V393241 V25 T25 V524313" allowBlank="1" prompt="Для выбора выполните двойной щелчок левой клавиши мыши по соответствующей ячейке." showErrorMessage="1" showInputMessage="1"/>
    <dataValidation sqref="R26 R65562 R131098 R196634 R262170 R327706 R393242 R458778 R524314 R589850 R655386 R720922 R786458 R851994 R917530 R983066" allowBlank="1" promptTitle="checkPeriodRange"/>
    <dataValidation sqref="L131099:X131105 L196635:X196641 L262171:X262177 L327707:X327713 L393243:X393249 L458779:X458785 L524315:X524321 L589851:X589857 L655387:X655393 L720923:X720929 L786459:X786465 L851995:X852001 L917531:X917537 L983067:X983073 L65563:X65569" allowBlank="1"/>
  </dataValidations>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x14:dataValidation xr:uid="{00AA00BC-00DE-4955-9A15-001D00A200EA}" type="list" allowBlank="1" error="Выберите значение из списка" errorTitle="Ошибка" showErrorMessage="1" showInputMessage="1">
          <x14:formula1>
            <xm:f>kind_of_scheme_in</xm:f>
          </x14:formula1>
          <xm:sqref>O983063:P983063 O65559:P65559 O131095:P131095 O196631:P196631 O262167:P262167 O327703:P327703 O393239:P393239 O458775:P458775 O524311:P524311 O589847:P589847 O655383:P655383 O720919:P720919 O786455:P786455 O851991:P851991 O917527:P917527</xm:sqref>
        </x14:dataValidation>
        <x14:dataValidation xr:uid="{008A0012-0070-4F74-A7E3-008B005600D2}" type="textLength" allowBlank="1" error="Допускается ввод не более 900 символов!" errorTitle="Ошибка" operator="lessThanOrEqual" showErrorMessage="1" showInputMessage="1">
          <x14:formula1>
            <xm:f>900</xm:f>
          </x14:formula1>
          <xm:sqref>X65555:X65562 X131091:X131098 X196627:X196634 X262163:X262170 X327699:X327706 X393235:X393242 X458771:X458778 X524307:X524314 X589843:X589850 X655379:X655386 X720915:X720922 X786451:X786458 X851987:X851994 X917523:X917530 X983059:X983066</xm:sqref>
        </x14:dataValidation>
        <x14:dataValidation xr:uid="{00AC00CD-0002-4F17-8613-005C00490075}" type="list" allowBlank="1" error="Выберите значение из списка" errorTitle="Ошибка" prompt="Выберите значение из списка" showInputMessage="1">
          <x14:formula1>
            <xm:f>kind_of_cons</xm:f>
          </x14:formula1>
          <xm:sqref>O983064:W983064 O65560:W65560 O131096:W131096 O196632:W196632 O262168:W262168 O327704:W327704 O393240:W393240 O458776:W458776 O524312:W524312 O589848:W589848 O655384:W655384 O720920:W720920 O786456:W786456 O851992:W851992 O917528:W917528</xm:sqref>
        </x14:dataValidation>
        <x14:dataValidation xr:uid="{002E00CC-00F7-4543-86DF-001D009B0038}" type="list" allowBlank="1" error="Выберите значение из списка" errorTitle="Ошибка" showErrorMessage="1" showInputMessage="1">
          <x14:formula1>
            <xm:f>kind_of_heat_transfer</xm:f>
          </x14:formula1>
          <xm:sqref>M65561 M131097 M196633 M262169 M327705 M393241 M458777 M524313 M589849 M655385 M720921 M786457 M851993 M917529 M983065</xm:sqref>
        </x14:dataValidation>
      </x14:dataValidations>
    </ext>
  </extLst>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sheetPr>
  <sheetViews>
    <sheetView showGridLines="0" topLeftCell="A1" workbookViewId="0">
      <selection activeCell="A1" sqref="A1"/>
    </sheetView>
  </sheetViews>
  <sheetFormatPr defaultRowHeight="11.25" customHeight="1"/>
  <sheetData/>
  <sheetProtection autoFilter="0" deleteColumns="0" deleteRows="0" insertColumns="1" insertRows="0" sort="0"/>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sheetPr>
  <sheetViews>
    <sheetView showGridLines="0" topLeftCell="A1" workbookViewId="0">
      <selection activeCell="A1" sqref="A1"/>
    </sheetView>
  </sheetViews>
  <sheetFormatPr defaultRowHeight="11.25" customHeight="1"/>
  <sheetData/>
  <sheetProtection autoFilter="0" deleteColumns="0" deleteRows="0" insertColumns="1" insertRows="0" sort="0"/>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sheetPr>
  <sheetViews>
    <sheetView showGridLines="0" topLeftCell="A1" workbookViewId="0">
      <selection activeCell="A1" sqref="A1"/>
    </sheetView>
  </sheetViews>
  <sheetFormatPr defaultRowHeight="11.25" customHeight="1"/>
  <sheetData/>
  <sheetProtection autoFilter="0" deleteColumns="0" deleteRows="0" insertColumns="1" insertRows="0" sort="0"/>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sheetPr>
  <sheetViews>
    <sheetView showGridLines="0" topLeftCell="A1" workbookViewId="0">
      <selection activeCell="A1" sqref="A1"/>
    </sheetView>
  </sheetViews>
  <sheetFormatPr defaultRowHeight="11.25" customHeight="1"/>
  <sheetData/>
  <sheetProtection autoFilter="0" deleteColumns="0" deleteRows="0" insertColumns="1" insertRows="0" sort="0"/>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sheetPr>
  <sheetViews>
    <sheetView showGridLines="0" topLeftCell="A1" workbookViewId="0">
      <selection activeCell="A1" sqref="A1"/>
    </sheetView>
  </sheetViews>
  <sheetFormatPr defaultRowHeight="11.25" customHeight="1"/>
  <sheetData/>
  <sheetProtection autoFilter="0" deleteColumns="0" deleteRows="0" insertColumns="1" insertRows="0" sort="0"/>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sheetPr>
  <sheetViews>
    <sheetView showGridLines="0" topLeftCell="A1" workbookViewId="0">
      <selection activeCell="A1" sqref="A1"/>
    </sheetView>
  </sheetViews>
  <sheetFormatPr defaultRowHeight="11.25" customHeight="1"/>
  <sheetData/>
  <sheetProtection autoFilter="0" deleteColumns="0" deleteRows="0" insertColumns="1" insertRows="0" sort="0"/>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sheetPr>
  <sheetViews>
    <sheetView showGridLines="0" topLeftCell="A1" workbookViewId="0">
      <selection activeCell="A1" sqref="A1"/>
    </sheetView>
  </sheetViews>
  <sheetFormatPr defaultRowHeight="11.25" customHeight="1"/>
  <sheetData/>
  <sheetProtection autoFilter="0" deleteColumns="0" deleteRows="0" insertColumns="1" insertRows="0" sort="0"/>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sheetPr>
  <sheetViews>
    <sheetView showGridLines="0" topLeftCell="A1" workbookViewId="0">
      <selection activeCell="A1" sqref="A1"/>
    </sheetView>
  </sheetViews>
  <sheetFormatPr defaultRowHeight="11.25" customHeight="1"/>
  <sheetData>
    <row r="1" ht="11.25" customHeight="1">
      <c r="A1" s="66"/>
    </row>
  </sheetData>
  <sheetProtection autoFilter="0" deleteColumns="0" deleteRows="0" insertColumns="1" insertRows="0" sort="0"/>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GridLines="0" topLeftCell="A1" workbookViewId="0">
      <selection activeCell="A1" sqref="A1"/>
    </sheetView>
  </sheetViews>
  <sheetFormatPr defaultRowHeight="11.25" customHeight="1"/>
  <cols>
    <col customWidth="1" min="1" max="1" style="64" width="10.57421875"/>
    <col customWidth="1" min="2" max="2" style="64" width="8.7109375"/>
    <col customWidth="1" min="3" max="3" style="64" width="18.140625"/>
    <col customWidth="1" min="4" max="4" style="64" width="12.57421875"/>
  </cols>
  <sheetData>
    <row r="1" ht="11.25" customHeight="1">
      <c r="A1" s="2615" t="s">
        <v>2234</v>
      </c>
      <c r="B1" s="2616" t="s">
        <v>2235</v>
      </c>
      <c r="C1" s="2617" t="s">
        <v>2236</v>
      </c>
      <c r="D1" s="2618"/>
      <c r="E1" s="836" t="s">
        <v>2237</v>
      </c>
    </row>
    <row r="2" ht="11.25" customHeight="1">
      <c r="A2" s="2619"/>
      <c r="B2" s="765" t="s">
        <v>27</v>
      </c>
      <c r="C2" s="753"/>
      <c r="D2" s="764"/>
      <c r="E2" s="836"/>
    </row>
    <row r="3" ht="11.25" customHeight="1">
      <c r="A3" s="2620"/>
      <c r="B3" s="2621" t="s">
        <v>33</v>
      </c>
      <c r="C3" s="753"/>
      <c r="D3" s="764"/>
      <c r="E3" s="836"/>
    </row>
    <row r="4" ht="11.25" customHeight="1">
      <c r="A4" s="2622"/>
      <c r="B4" s="766" t="s">
        <v>1663</v>
      </c>
      <c r="C4" s="753"/>
      <c r="D4" s="764"/>
      <c r="E4" s="836"/>
    </row>
    <row r="5" ht="11.25" customHeight="1">
      <c r="A5" s="2623"/>
      <c r="B5" s="766" t="s">
        <v>1657</v>
      </c>
      <c r="C5" s="2624" t="s">
        <v>2001</v>
      </c>
      <c r="D5" s="2625" t="s">
        <v>2238</v>
      </c>
      <c r="E5" s="836"/>
    </row>
    <row r="6" s="1850" customFormat="1" ht="11.25" customHeight="1">
      <c r="A6" s="2626"/>
      <c r="B6" s="766" t="s">
        <v>1667</v>
      </c>
      <c r="C6" s="753"/>
      <c r="D6" s="764"/>
      <c r="E6" s="836"/>
    </row>
    <row r="7" ht="11.25" customHeight="1">
      <c r="A7" s="2627"/>
      <c r="B7" s="766" t="s">
        <v>1675</v>
      </c>
      <c r="C7" s="753"/>
      <c r="D7" s="764"/>
      <c r="E7" s="836"/>
    </row>
    <row r="8" ht="11.25" customHeight="1">
      <c r="A8" s="756"/>
      <c r="B8" s="766" t="s">
        <v>1670</v>
      </c>
      <c r="C8" s="753"/>
      <c r="D8" s="764"/>
      <c r="E8" s="836"/>
    </row>
  </sheetData>
  <sheetProtection autoFilter="0" deleteColumns="0" deleteRows="0" formatColumns="0" formatRows="0" insertColumns="1" insertRows="0" sort="0"/>
  <mergeCells count="1">
    <mergeCell ref="C1:D1"/>
  </mergeCells>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sheetPr>
  <sheetViews>
    <sheetView showGridLines="0" topLeftCell="A1" workbookViewId="0">
      <selection activeCell="A1" sqref="A1"/>
    </sheetView>
  </sheetViews>
  <sheetFormatPr defaultRowHeight="11.25" customHeight="1"/>
  <sheetData/>
  <sheetProtection autoFilter="0" deleteColumns="0" deleteRows="0" insertColumns="1" insertRows="0" sort="0"/>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sheetPr>
  <sheetViews>
    <sheetView showGridLines="0" topLeftCell="A1" workbookViewId="0">
      <selection activeCell="A1" sqref="A1"/>
    </sheetView>
  </sheetViews>
  <sheetFormatPr defaultRowHeight="11.25" customHeight="1"/>
  <sheetData/>
  <sheetProtection autoFilter="0" deleteColumns="0" deleteRows="0" insertColumns="1" insertRows="0" sort="0"/>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sheetPr>
  <sheetViews>
    <sheetView showGridLines="0" topLeftCell="A1" workbookViewId="0">
      <selection activeCell="A1" sqref="A1"/>
    </sheetView>
  </sheetViews>
  <sheetFormatPr defaultColWidth="9.140625" defaultRowHeight="11.25" customHeight="1"/>
  <cols>
    <col min="1" max="2" style="1850" width="9.140625"/>
    <col customWidth="1" min="3" max="3" style="1850" width="20.7109375"/>
    <col customWidth="1" min="4" max="4" style="1850" width="25.140625"/>
    <col min="5" max="9" style="1850" width="9.140625"/>
  </cols>
  <sheetData>
    <row r="1" ht="11.25" customHeight="1">
      <c r="A1" s="68" t="s">
        <v>2239</v>
      </c>
      <c r="B1" s="68" t="s">
        <v>2240</v>
      </c>
      <c r="C1" s="68" t="s">
        <v>2241</v>
      </c>
      <c r="D1" s="68" t="s">
        <v>2242</v>
      </c>
      <c r="E1" s="68" t="s">
        <v>2243</v>
      </c>
      <c r="F1" s="68" t="s">
        <v>2244</v>
      </c>
      <c r="G1" s="68" t="s">
        <v>2245</v>
      </c>
      <c r="H1" s="68" t="s">
        <v>2246</v>
      </c>
      <c r="I1" s="68" t="s">
        <v>2247</v>
      </c>
    </row>
    <row r="2" ht="11.25" customHeight="1">
      <c r="A2" s="1850" t="s">
        <v>2248</v>
      </c>
      <c r="B2" s="1850" t="s">
        <v>16</v>
      </c>
      <c r="C2" s="1850" t="s">
        <v>2249</v>
      </c>
      <c r="D2" s="1850" t="s">
        <v>2250</v>
      </c>
      <c r="E2" s="1850" t="s">
        <v>2251</v>
      </c>
      <c r="F2" s="1850" t="s">
        <v>2252</v>
      </c>
      <c r="G2" s="1850" t="s">
        <v>22</v>
      </c>
      <c r="H2" s="1850" t="s">
        <v>22</v>
      </c>
      <c r="I2" s="1850" t="s">
        <v>810</v>
      </c>
    </row>
    <row r="3" ht="11.25" customHeight="1">
      <c r="A3" s="1850" t="s">
        <v>2248</v>
      </c>
      <c r="B3" s="1850" t="s">
        <v>16</v>
      </c>
      <c r="C3" s="1850" t="s">
        <v>2253</v>
      </c>
      <c r="D3" s="1850" t="s">
        <v>2254</v>
      </c>
      <c r="E3" s="1850" t="s">
        <v>2255</v>
      </c>
      <c r="F3" s="1850" t="s">
        <v>2256</v>
      </c>
      <c r="G3" s="1850" t="s">
        <v>22</v>
      </c>
      <c r="H3" s="1850" t="s">
        <v>22</v>
      </c>
      <c r="I3" s="1850" t="s">
        <v>810</v>
      </c>
    </row>
    <row r="4" ht="11.25" customHeight="1">
      <c r="A4" s="1850" t="s">
        <v>2248</v>
      </c>
      <c r="B4" s="1850" t="s">
        <v>16</v>
      </c>
      <c r="C4" s="1850" t="s">
        <v>2257</v>
      </c>
      <c r="D4" s="1850" t="s">
        <v>2258</v>
      </c>
      <c r="E4" s="1850" t="s">
        <v>2259</v>
      </c>
      <c r="F4" s="1850" t="s">
        <v>2260</v>
      </c>
      <c r="G4" s="1850" t="s">
        <v>22</v>
      </c>
      <c r="H4" s="1850" t="s">
        <v>22</v>
      </c>
      <c r="I4" s="1850" t="s">
        <v>810</v>
      </c>
    </row>
    <row r="5" ht="11.25" customHeight="1">
      <c r="A5" s="1850" t="s">
        <v>2248</v>
      </c>
      <c r="B5" s="1850" t="s">
        <v>16</v>
      </c>
      <c r="C5" s="1850" t="s">
        <v>2261</v>
      </c>
      <c r="D5" s="1850" t="s">
        <v>2262</v>
      </c>
      <c r="E5" s="1850" t="s">
        <v>2263</v>
      </c>
      <c r="F5" s="1850" t="s">
        <v>2264</v>
      </c>
      <c r="G5" s="1850" t="s">
        <v>22</v>
      </c>
      <c r="H5" s="1850" t="s">
        <v>22</v>
      </c>
      <c r="I5" s="1850" t="s">
        <v>810</v>
      </c>
    </row>
    <row r="6" ht="11.25" customHeight="1">
      <c r="A6" s="1850" t="s">
        <v>2248</v>
      </c>
      <c r="B6" s="1850" t="s">
        <v>16</v>
      </c>
      <c r="C6" s="1850" t="s">
        <v>2265</v>
      </c>
      <c r="D6" s="1850" t="s">
        <v>2266</v>
      </c>
      <c r="E6" s="1850" t="s">
        <v>2267</v>
      </c>
      <c r="F6" s="1850" t="s">
        <v>2268</v>
      </c>
      <c r="G6" s="1850" t="s">
        <v>2269</v>
      </c>
      <c r="H6" s="1850" t="s">
        <v>22</v>
      </c>
      <c r="I6" s="1850" t="s">
        <v>810</v>
      </c>
    </row>
    <row r="7" ht="11.25" customHeight="1">
      <c r="A7" s="1850" t="s">
        <v>2248</v>
      </c>
      <c r="B7" s="1850" t="s">
        <v>16</v>
      </c>
      <c r="C7" s="1850" t="s">
        <v>2270</v>
      </c>
      <c r="D7" s="1850" t="s">
        <v>2271</v>
      </c>
      <c r="E7" s="1850" t="s">
        <v>2272</v>
      </c>
      <c r="F7" s="1850" t="s">
        <v>2264</v>
      </c>
      <c r="G7" s="1850" t="s">
        <v>22</v>
      </c>
      <c r="H7" s="1850" t="s">
        <v>22</v>
      </c>
      <c r="I7" s="1850" t="s">
        <v>810</v>
      </c>
    </row>
    <row r="8" ht="11.25" customHeight="1">
      <c r="A8" s="1850" t="s">
        <v>2248</v>
      </c>
      <c r="B8" s="1850" t="s">
        <v>16</v>
      </c>
      <c r="C8" s="1850" t="s">
        <v>2273</v>
      </c>
      <c r="D8" s="1850" t="s">
        <v>2274</v>
      </c>
      <c r="E8" s="1850" t="s">
        <v>2275</v>
      </c>
      <c r="F8" s="1850" t="s">
        <v>2276</v>
      </c>
      <c r="G8" s="1850" t="s">
        <v>22</v>
      </c>
      <c r="H8" s="1850" t="s">
        <v>22</v>
      </c>
      <c r="I8" s="1850" t="s">
        <v>810</v>
      </c>
    </row>
    <row r="9" ht="11.25" customHeight="1">
      <c r="A9" s="1850" t="s">
        <v>2248</v>
      </c>
      <c r="B9" s="1850" t="s">
        <v>16</v>
      </c>
      <c r="C9" s="1850" t="s">
        <v>2277</v>
      </c>
      <c r="D9" s="1850" t="s">
        <v>2278</v>
      </c>
      <c r="E9" s="1850" t="s">
        <v>2279</v>
      </c>
      <c r="F9" s="1850" t="s">
        <v>2280</v>
      </c>
      <c r="G9" s="1850" t="s">
        <v>22</v>
      </c>
      <c r="H9" s="1850" t="s">
        <v>22</v>
      </c>
      <c r="I9" s="1850" t="s">
        <v>810</v>
      </c>
    </row>
    <row r="10" ht="11.25" customHeight="1">
      <c r="A10" s="1850" t="s">
        <v>2248</v>
      </c>
      <c r="B10" s="1850" t="s">
        <v>16</v>
      </c>
      <c r="C10" s="1850" t="s">
        <v>2281</v>
      </c>
      <c r="D10" s="1850" t="s">
        <v>2282</v>
      </c>
      <c r="E10" s="1850" t="s">
        <v>2283</v>
      </c>
      <c r="F10" s="1850" t="s">
        <v>2284</v>
      </c>
      <c r="G10" s="1850" t="s">
        <v>2285</v>
      </c>
      <c r="H10" s="1850" t="s">
        <v>22</v>
      </c>
      <c r="I10" s="1850" t="s">
        <v>810</v>
      </c>
    </row>
    <row r="11" ht="11.25" customHeight="1">
      <c r="A11" s="1850" t="s">
        <v>2248</v>
      </c>
      <c r="B11" s="1850" t="s">
        <v>16</v>
      </c>
      <c r="C11" s="1850" t="s">
        <v>2286</v>
      </c>
      <c r="D11" s="1850" t="s">
        <v>2287</v>
      </c>
      <c r="E11" s="1850" t="s">
        <v>2288</v>
      </c>
      <c r="F11" s="1850" t="s">
        <v>2289</v>
      </c>
      <c r="G11" s="1850" t="s">
        <v>22</v>
      </c>
      <c r="H11" s="1850" t="s">
        <v>22</v>
      </c>
      <c r="I11" s="1850" t="s">
        <v>810</v>
      </c>
    </row>
    <row r="12" ht="11.25" customHeight="1">
      <c r="A12" s="1850" t="s">
        <v>2248</v>
      </c>
      <c r="B12" s="1850" t="s">
        <v>16</v>
      </c>
      <c r="C12" s="1850" t="s">
        <v>2290</v>
      </c>
      <c r="D12" s="1850" t="s">
        <v>2291</v>
      </c>
      <c r="E12" s="1850" t="s">
        <v>2292</v>
      </c>
      <c r="F12" s="1850" t="s">
        <v>2293</v>
      </c>
      <c r="G12" s="1850" t="s">
        <v>22</v>
      </c>
      <c r="H12" s="1850" t="s">
        <v>22</v>
      </c>
      <c r="I12" s="1850" t="s">
        <v>810</v>
      </c>
    </row>
    <row r="13" ht="11.25" customHeight="1">
      <c r="A13" s="1850" t="s">
        <v>2248</v>
      </c>
      <c r="B13" s="1850" t="s">
        <v>16</v>
      </c>
      <c r="C13" s="1850" t="s">
        <v>2294</v>
      </c>
      <c r="D13" s="1850" t="s">
        <v>2295</v>
      </c>
      <c r="E13" s="1850" t="s">
        <v>2296</v>
      </c>
      <c r="F13" s="1850" t="s">
        <v>2293</v>
      </c>
      <c r="G13" s="1850" t="s">
        <v>22</v>
      </c>
      <c r="H13" s="1850" t="s">
        <v>22</v>
      </c>
      <c r="I13" s="1850" t="s">
        <v>810</v>
      </c>
    </row>
    <row r="14" ht="11.25" customHeight="1">
      <c r="A14" s="1850" t="s">
        <v>2248</v>
      </c>
      <c r="B14" s="1850" t="s">
        <v>16</v>
      </c>
      <c r="C14" s="1850" t="s">
        <v>22</v>
      </c>
      <c r="D14" s="1850" t="s">
        <v>2297</v>
      </c>
      <c r="E14" s="1850" t="s">
        <v>2298</v>
      </c>
      <c r="F14" s="1850" t="s">
        <v>2264</v>
      </c>
      <c r="G14" s="1850" t="s">
        <v>22</v>
      </c>
      <c r="H14" s="1850" t="s">
        <v>22</v>
      </c>
      <c r="I14" s="1850" t="s">
        <v>810</v>
      </c>
    </row>
    <row r="15" ht="11.25" customHeight="1">
      <c r="A15" s="1850" t="s">
        <v>2248</v>
      </c>
      <c r="B15" s="1850" t="s">
        <v>16</v>
      </c>
      <c r="C15" s="1850" t="s">
        <v>2299</v>
      </c>
      <c r="D15" s="1850" t="s">
        <v>2300</v>
      </c>
      <c r="E15" s="1850" t="s">
        <v>2301</v>
      </c>
      <c r="F15" s="1850" t="s">
        <v>2302</v>
      </c>
      <c r="G15" s="1850" t="s">
        <v>22</v>
      </c>
      <c r="H15" s="1850" t="s">
        <v>22</v>
      </c>
      <c r="I15" s="1850" t="s">
        <v>810</v>
      </c>
    </row>
    <row r="16" ht="11.25" customHeight="1">
      <c r="A16" s="1850" t="s">
        <v>2248</v>
      </c>
      <c r="B16" s="1850" t="s">
        <v>16</v>
      </c>
      <c r="C16" s="1850" t="s">
        <v>2303</v>
      </c>
      <c r="D16" s="1850" t="s">
        <v>2304</v>
      </c>
      <c r="E16" s="1850" t="s">
        <v>2305</v>
      </c>
      <c r="F16" s="1850" t="s">
        <v>2252</v>
      </c>
      <c r="G16" s="1850" t="s">
        <v>22</v>
      </c>
      <c r="H16" s="1850" t="s">
        <v>22</v>
      </c>
      <c r="I16" s="1850" t="s">
        <v>810</v>
      </c>
    </row>
    <row r="17" ht="11.25" customHeight="1">
      <c r="A17" s="1850" t="s">
        <v>2248</v>
      </c>
      <c r="B17" s="1850" t="s">
        <v>16</v>
      </c>
      <c r="C17" s="1850" t="s">
        <v>2306</v>
      </c>
      <c r="D17" s="1850" t="s">
        <v>2307</v>
      </c>
      <c r="E17" s="1850" t="s">
        <v>2308</v>
      </c>
      <c r="F17" s="1850" t="s">
        <v>2293</v>
      </c>
      <c r="G17" s="1850" t="s">
        <v>22</v>
      </c>
      <c r="H17" s="1850" t="s">
        <v>22</v>
      </c>
      <c r="I17" s="1850" t="s">
        <v>810</v>
      </c>
    </row>
    <row r="18" ht="11.25" customHeight="1">
      <c r="A18" s="1850" t="s">
        <v>2248</v>
      </c>
      <c r="B18" s="1850" t="s">
        <v>16</v>
      </c>
      <c r="C18" s="1850" t="s">
        <v>2309</v>
      </c>
      <c r="D18" s="1850" t="s">
        <v>2310</v>
      </c>
      <c r="E18" s="1850" t="s">
        <v>2311</v>
      </c>
      <c r="F18" s="1850" t="s">
        <v>2312</v>
      </c>
      <c r="G18" s="1850" t="s">
        <v>22</v>
      </c>
      <c r="H18" s="1850" t="s">
        <v>22</v>
      </c>
      <c r="I18" s="1850" t="s">
        <v>810</v>
      </c>
    </row>
    <row r="19" ht="11.25" customHeight="1">
      <c r="A19" s="1850" t="s">
        <v>2248</v>
      </c>
      <c r="B19" s="1850" t="s">
        <v>16</v>
      </c>
      <c r="C19" s="1850" t="s">
        <v>2313</v>
      </c>
      <c r="D19" s="1850" t="s">
        <v>2314</v>
      </c>
      <c r="E19" s="1850" t="s">
        <v>2315</v>
      </c>
      <c r="F19" s="1850" t="s">
        <v>2316</v>
      </c>
      <c r="G19" s="1850" t="s">
        <v>2317</v>
      </c>
      <c r="H19" s="1850" t="s">
        <v>22</v>
      </c>
      <c r="I19" s="1850" t="s">
        <v>810</v>
      </c>
    </row>
    <row r="20" ht="11.25" customHeight="1">
      <c r="A20" s="1850" t="s">
        <v>2248</v>
      </c>
      <c r="B20" s="1850" t="s">
        <v>16</v>
      </c>
      <c r="C20" s="1850" t="s">
        <v>2318</v>
      </c>
      <c r="D20" s="1850" t="s">
        <v>2319</v>
      </c>
      <c r="E20" s="1850" t="s">
        <v>2320</v>
      </c>
      <c r="F20" s="1850" t="s">
        <v>2321</v>
      </c>
      <c r="G20" s="1850" t="s">
        <v>2322</v>
      </c>
      <c r="H20" s="1850" t="s">
        <v>22</v>
      </c>
      <c r="I20" s="1850" t="s">
        <v>810</v>
      </c>
    </row>
    <row r="21" ht="11.25" customHeight="1">
      <c r="A21" s="1850" t="s">
        <v>2248</v>
      </c>
      <c r="B21" s="1850" t="s">
        <v>16</v>
      </c>
      <c r="C21" s="1850" t="s">
        <v>2323</v>
      </c>
      <c r="D21" s="1850" t="s">
        <v>2324</v>
      </c>
      <c r="E21" s="1850" t="s">
        <v>2325</v>
      </c>
      <c r="F21" s="1850" t="s">
        <v>2289</v>
      </c>
      <c r="G21" s="1850" t="s">
        <v>2326</v>
      </c>
      <c r="H21" s="1850" t="s">
        <v>22</v>
      </c>
      <c r="I21" s="1850" t="s">
        <v>810</v>
      </c>
    </row>
    <row r="22" ht="11.25" customHeight="1">
      <c r="A22" s="1850" t="s">
        <v>2248</v>
      </c>
      <c r="B22" s="1850" t="s">
        <v>16</v>
      </c>
      <c r="C22" s="1850" t="s">
        <v>2327</v>
      </c>
      <c r="D22" s="1850" t="s">
        <v>2328</v>
      </c>
      <c r="E22" s="1850" t="s">
        <v>2329</v>
      </c>
      <c r="F22" s="1850" t="s">
        <v>2330</v>
      </c>
      <c r="G22" s="1850" t="s">
        <v>2331</v>
      </c>
      <c r="H22" s="1850" t="s">
        <v>22</v>
      </c>
      <c r="I22" s="1850" t="s">
        <v>810</v>
      </c>
    </row>
    <row r="23" ht="11.25" customHeight="1">
      <c r="A23" s="1850" t="s">
        <v>2248</v>
      </c>
      <c r="B23" s="1850" t="s">
        <v>16</v>
      </c>
      <c r="C23" s="1850" t="s">
        <v>2332</v>
      </c>
      <c r="D23" s="1850" t="s">
        <v>2333</v>
      </c>
      <c r="E23" s="1850" t="s">
        <v>2334</v>
      </c>
      <c r="F23" s="1850" t="s">
        <v>2335</v>
      </c>
      <c r="G23" s="1850" t="s">
        <v>2336</v>
      </c>
      <c r="H23" s="1850" t="s">
        <v>22</v>
      </c>
      <c r="I23" s="1850" t="s">
        <v>810</v>
      </c>
    </row>
    <row r="24" ht="11.25" customHeight="1">
      <c r="A24" s="1850" t="s">
        <v>2248</v>
      </c>
      <c r="B24" s="1850" t="s">
        <v>16</v>
      </c>
      <c r="C24" s="1850" t="s">
        <v>2337</v>
      </c>
      <c r="D24" s="1850" t="s">
        <v>2338</v>
      </c>
      <c r="E24" s="1850" t="s">
        <v>2339</v>
      </c>
      <c r="F24" s="1850" t="s">
        <v>2340</v>
      </c>
      <c r="G24" s="1850" t="s">
        <v>2341</v>
      </c>
      <c r="H24" s="1850" t="s">
        <v>22</v>
      </c>
      <c r="I24" s="1850" t="s">
        <v>810</v>
      </c>
    </row>
    <row r="25" ht="11.25" customHeight="1">
      <c r="A25" s="1850" t="s">
        <v>2248</v>
      </c>
      <c r="B25" s="1850" t="s">
        <v>16</v>
      </c>
      <c r="C25" s="1850" t="s">
        <v>2342</v>
      </c>
      <c r="D25" s="1850" t="s">
        <v>2343</v>
      </c>
      <c r="E25" s="1850" t="s">
        <v>2344</v>
      </c>
      <c r="F25" s="1850" t="s">
        <v>2268</v>
      </c>
      <c r="G25" s="1850" t="s">
        <v>2345</v>
      </c>
      <c r="H25" s="1850" t="s">
        <v>22</v>
      </c>
      <c r="I25" s="1850" t="s">
        <v>810</v>
      </c>
    </row>
    <row r="26" ht="11.25" customHeight="1">
      <c r="A26" s="1850" t="s">
        <v>2248</v>
      </c>
      <c r="B26" s="1850" t="s">
        <v>16</v>
      </c>
      <c r="C26" s="1850" t="s">
        <v>2346</v>
      </c>
      <c r="D26" s="1850" t="s">
        <v>2347</v>
      </c>
      <c r="E26" s="1850" t="s">
        <v>2348</v>
      </c>
      <c r="F26" s="1850" t="s">
        <v>2349</v>
      </c>
      <c r="G26" s="1850" t="s">
        <v>2350</v>
      </c>
      <c r="H26" s="1850" t="s">
        <v>22</v>
      </c>
      <c r="I26" s="1850" t="s">
        <v>810</v>
      </c>
    </row>
    <row r="27" ht="11.25" customHeight="1">
      <c r="A27" s="1850" t="s">
        <v>2248</v>
      </c>
      <c r="B27" s="1850" t="s">
        <v>16</v>
      </c>
      <c r="C27" s="1850" t="s">
        <v>2351</v>
      </c>
      <c r="D27" s="1850" t="s">
        <v>2352</v>
      </c>
      <c r="E27" s="1850" t="s">
        <v>2353</v>
      </c>
      <c r="F27" s="1850" t="s">
        <v>2354</v>
      </c>
      <c r="G27" s="1850" t="s">
        <v>2355</v>
      </c>
      <c r="H27" s="1850" t="s">
        <v>22</v>
      </c>
      <c r="I27" s="1850" t="s">
        <v>810</v>
      </c>
    </row>
    <row r="28" ht="11.25" customHeight="1">
      <c r="A28" s="1850" t="s">
        <v>2248</v>
      </c>
      <c r="B28" s="1850" t="s">
        <v>16</v>
      </c>
      <c r="C28" s="1850" t="s">
        <v>2356</v>
      </c>
      <c r="D28" s="1850" t="s">
        <v>2357</v>
      </c>
      <c r="E28" s="1850" t="s">
        <v>2358</v>
      </c>
      <c r="F28" s="1850" t="s">
        <v>2359</v>
      </c>
      <c r="G28" s="1850" t="s">
        <v>22</v>
      </c>
      <c r="H28" s="1850" t="s">
        <v>22</v>
      </c>
      <c r="I28" s="1850" t="s">
        <v>810</v>
      </c>
    </row>
    <row r="29" ht="11.25" customHeight="1">
      <c r="A29" s="1850" t="s">
        <v>2248</v>
      </c>
      <c r="B29" s="1850" t="s">
        <v>16</v>
      </c>
      <c r="C29" s="1850" t="s">
        <v>2360</v>
      </c>
      <c r="D29" s="1850" t="s">
        <v>2361</v>
      </c>
      <c r="E29" s="1850" t="s">
        <v>2362</v>
      </c>
      <c r="F29" s="1850" t="s">
        <v>2363</v>
      </c>
      <c r="G29" s="1850" t="s">
        <v>2364</v>
      </c>
      <c r="H29" s="1850" t="s">
        <v>22</v>
      </c>
      <c r="I29" s="1850" t="s">
        <v>810</v>
      </c>
    </row>
    <row r="30" ht="11.25" customHeight="1">
      <c r="A30" s="1850" t="s">
        <v>2248</v>
      </c>
      <c r="B30" s="1850" t="s">
        <v>16</v>
      </c>
      <c r="C30" s="1850" t="s">
        <v>2365</v>
      </c>
      <c r="D30" s="1850" t="s">
        <v>2366</v>
      </c>
      <c r="E30" s="1850" t="s">
        <v>2367</v>
      </c>
      <c r="F30" s="1850" t="s">
        <v>2368</v>
      </c>
      <c r="G30" s="1850" t="s">
        <v>2369</v>
      </c>
      <c r="H30" s="1850" t="s">
        <v>22</v>
      </c>
      <c r="I30" s="1850" t="s">
        <v>810</v>
      </c>
    </row>
    <row r="31" ht="11.25" customHeight="1">
      <c r="A31" s="1850" t="s">
        <v>2248</v>
      </c>
      <c r="B31" s="1850" t="s">
        <v>16</v>
      </c>
      <c r="C31" s="1850" t="s">
        <v>2370</v>
      </c>
      <c r="D31" s="1850" t="s">
        <v>2371</v>
      </c>
      <c r="E31" s="1850" t="s">
        <v>2372</v>
      </c>
      <c r="F31" s="1850" t="s">
        <v>2373</v>
      </c>
      <c r="G31" s="1850" t="s">
        <v>2374</v>
      </c>
      <c r="H31" s="1850" t="s">
        <v>22</v>
      </c>
      <c r="I31" s="1850" t="s">
        <v>810</v>
      </c>
    </row>
    <row r="32" ht="11.25" customHeight="1">
      <c r="A32" s="1850" t="s">
        <v>2248</v>
      </c>
      <c r="B32" s="1850" t="s">
        <v>16</v>
      </c>
      <c r="C32" s="1850" t="s">
        <v>2375</v>
      </c>
      <c r="D32" s="1850" t="s">
        <v>2376</v>
      </c>
      <c r="E32" s="1850" t="s">
        <v>2377</v>
      </c>
      <c r="F32" s="1850" t="s">
        <v>2378</v>
      </c>
      <c r="G32" s="1850" t="s">
        <v>2379</v>
      </c>
      <c r="H32" s="1850" t="s">
        <v>22</v>
      </c>
      <c r="I32" s="1850" t="s">
        <v>810</v>
      </c>
    </row>
    <row r="33" ht="11.25" customHeight="1">
      <c r="A33" s="1850" t="s">
        <v>2248</v>
      </c>
      <c r="B33" s="1850" t="s">
        <v>16</v>
      </c>
      <c r="C33" s="1850" t="s">
        <v>2380</v>
      </c>
      <c r="D33" s="1850" t="s">
        <v>2381</v>
      </c>
      <c r="E33" s="1850" t="s">
        <v>2382</v>
      </c>
      <c r="F33" s="1850" t="s">
        <v>2383</v>
      </c>
      <c r="G33" s="1850" t="s">
        <v>2384</v>
      </c>
      <c r="H33" s="1850" t="s">
        <v>22</v>
      </c>
      <c r="I33" s="1850" t="s">
        <v>810</v>
      </c>
    </row>
    <row r="34" ht="11.25" customHeight="1">
      <c r="A34" s="1850" t="s">
        <v>2248</v>
      </c>
      <c r="B34" s="1850" t="s">
        <v>16</v>
      </c>
      <c r="C34" s="1850" t="s">
        <v>2385</v>
      </c>
      <c r="D34" s="1850" t="s">
        <v>2386</v>
      </c>
      <c r="E34" s="1850" t="s">
        <v>2387</v>
      </c>
      <c r="F34" s="1850" t="s">
        <v>2388</v>
      </c>
      <c r="G34" s="1850" t="s">
        <v>2389</v>
      </c>
      <c r="H34" s="1850" t="s">
        <v>22</v>
      </c>
      <c r="I34" s="1850" t="s">
        <v>810</v>
      </c>
    </row>
    <row r="35" ht="11.25" customHeight="1">
      <c r="A35" s="1850" t="s">
        <v>2248</v>
      </c>
      <c r="B35" s="1850" t="s">
        <v>16</v>
      </c>
      <c r="C35" s="1850" t="s">
        <v>2390</v>
      </c>
      <c r="D35" s="1850" t="s">
        <v>2391</v>
      </c>
      <c r="E35" s="1850" t="s">
        <v>2392</v>
      </c>
      <c r="F35" s="1850" t="s">
        <v>2393</v>
      </c>
      <c r="G35" s="1850" t="s">
        <v>22</v>
      </c>
      <c r="H35" s="1850" t="s">
        <v>22</v>
      </c>
      <c r="I35" s="1850" t="s">
        <v>810</v>
      </c>
    </row>
    <row r="36" ht="11.25" customHeight="1">
      <c r="A36" s="1850" t="s">
        <v>2248</v>
      </c>
      <c r="B36" s="1850" t="s">
        <v>16</v>
      </c>
      <c r="C36" s="1850" t="s">
        <v>2394</v>
      </c>
      <c r="D36" s="1850" t="s">
        <v>2395</v>
      </c>
      <c r="E36" s="1850" t="s">
        <v>2396</v>
      </c>
      <c r="F36" s="1850" t="s">
        <v>2397</v>
      </c>
      <c r="G36" s="1850" t="s">
        <v>22</v>
      </c>
      <c r="H36" s="1850" t="s">
        <v>22</v>
      </c>
      <c r="I36" s="1850" t="s">
        <v>810</v>
      </c>
    </row>
    <row r="37" ht="11.25" customHeight="1">
      <c r="A37" s="1850" t="s">
        <v>2248</v>
      </c>
      <c r="B37" s="1850" t="s">
        <v>16</v>
      </c>
      <c r="C37" s="1850" t="s">
        <v>2398</v>
      </c>
      <c r="D37" s="1850" t="s">
        <v>2399</v>
      </c>
      <c r="E37" s="1850" t="s">
        <v>2400</v>
      </c>
      <c r="F37" s="1850" t="s">
        <v>2359</v>
      </c>
      <c r="G37" s="1850" t="s">
        <v>22</v>
      </c>
      <c r="H37" s="1850" t="s">
        <v>22</v>
      </c>
      <c r="I37" s="1850" t="s">
        <v>810</v>
      </c>
    </row>
    <row r="38" ht="11.25" customHeight="1">
      <c r="A38" s="1850" t="s">
        <v>2248</v>
      </c>
      <c r="B38" s="1850" t="s">
        <v>16</v>
      </c>
      <c r="C38" s="1850" t="s">
        <v>2401</v>
      </c>
      <c r="D38" s="1850" t="s">
        <v>2402</v>
      </c>
      <c r="E38" s="1850" t="s">
        <v>2403</v>
      </c>
      <c r="F38" s="1850" t="s">
        <v>2404</v>
      </c>
      <c r="G38" s="1850" t="s">
        <v>2331</v>
      </c>
      <c r="H38" s="1850" t="s">
        <v>22</v>
      </c>
      <c r="I38" s="1850" t="s">
        <v>810</v>
      </c>
    </row>
    <row r="39" ht="11.25" customHeight="1">
      <c r="A39" s="1850" t="s">
        <v>2248</v>
      </c>
      <c r="B39" s="1850" t="s">
        <v>16</v>
      </c>
      <c r="C39" s="1850" t="s">
        <v>2405</v>
      </c>
      <c r="D39" s="1850" t="s">
        <v>2406</v>
      </c>
      <c r="E39" s="1850" t="s">
        <v>2407</v>
      </c>
      <c r="F39" s="1850" t="s">
        <v>2408</v>
      </c>
      <c r="G39" s="1850" t="s">
        <v>2409</v>
      </c>
      <c r="H39" s="1850" t="s">
        <v>22</v>
      </c>
      <c r="I39" s="1850" t="s">
        <v>810</v>
      </c>
    </row>
    <row r="40" ht="11.25" customHeight="1">
      <c r="A40" s="1850" t="s">
        <v>2248</v>
      </c>
      <c r="B40" s="1850" t="s">
        <v>16</v>
      </c>
      <c r="C40" s="1850" t="s">
        <v>2410</v>
      </c>
      <c r="D40" s="1850" t="s">
        <v>2411</v>
      </c>
      <c r="E40" s="1850" t="s">
        <v>2412</v>
      </c>
      <c r="F40" s="1850" t="s">
        <v>2413</v>
      </c>
      <c r="G40" s="1850" t="s">
        <v>22</v>
      </c>
      <c r="H40" s="1850" t="s">
        <v>22</v>
      </c>
      <c r="I40" s="1850" t="s">
        <v>810</v>
      </c>
    </row>
    <row r="41" ht="11.25" customHeight="1">
      <c r="A41" s="1850" t="s">
        <v>2248</v>
      </c>
      <c r="B41" s="1850" t="s">
        <v>16</v>
      </c>
      <c r="C41" s="1850" t="s">
        <v>2414</v>
      </c>
      <c r="D41" s="1850" t="s">
        <v>2415</v>
      </c>
      <c r="E41" s="1850" t="s">
        <v>2416</v>
      </c>
      <c r="F41" s="1850" t="s">
        <v>2383</v>
      </c>
      <c r="G41" s="1850" t="s">
        <v>22</v>
      </c>
      <c r="H41" s="1850" t="s">
        <v>22</v>
      </c>
      <c r="I41" s="1850" t="s">
        <v>810</v>
      </c>
    </row>
    <row r="42" ht="11.25" customHeight="1">
      <c r="A42" s="1850" t="s">
        <v>2248</v>
      </c>
      <c r="B42" s="1850" t="s">
        <v>16</v>
      </c>
      <c r="C42" s="1850" t="s">
        <v>2417</v>
      </c>
      <c r="D42" s="1850" t="s">
        <v>2418</v>
      </c>
      <c r="E42" s="1850" t="s">
        <v>2419</v>
      </c>
      <c r="F42" s="1850" t="s">
        <v>2252</v>
      </c>
      <c r="G42" s="1850" t="s">
        <v>22</v>
      </c>
      <c r="H42" s="1850" t="s">
        <v>22</v>
      </c>
      <c r="I42" s="1850" t="s">
        <v>810</v>
      </c>
    </row>
    <row r="43" ht="11.25" customHeight="1">
      <c r="A43" s="1850" t="s">
        <v>2248</v>
      </c>
      <c r="B43" s="1850" t="s">
        <v>16</v>
      </c>
      <c r="C43" s="1850" t="s">
        <v>2420</v>
      </c>
      <c r="D43" s="1850" t="s">
        <v>2421</v>
      </c>
      <c r="E43" s="1850" t="s">
        <v>2422</v>
      </c>
      <c r="F43" s="1850" t="s">
        <v>2289</v>
      </c>
      <c r="G43" s="1850" t="s">
        <v>22</v>
      </c>
      <c r="H43" s="1850" t="s">
        <v>22</v>
      </c>
      <c r="I43" s="1850" t="s">
        <v>810</v>
      </c>
    </row>
    <row r="44" ht="11.25" customHeight="1">
      <c r="A44" s="1850" t="s">
        <v>2248</v>
      </c>
      <c r="B44" s="1850" t="s">
        <v>16</v>
      </c>
      <c r="C44" s="1850" t="s">
        <v>2423</v>
      </c>
      <c r="D44" s="1850" t="s">
        <v>2424</v>
      </c>
      <c r="E44" s="1850" t="s">
        <v>2425</v>
      </c>
      <c r="F44" s="1850" t="s">
        <v>2426</v>
      </c>
      <c r="G44" s="1850" t="s">
        <v>22</v>
      </c>
      <c r="H44" s="1850" t="s">
        <v>22</v>
      </c>
      <c r="I44" s="1850" t="s">
        <v>810</v>
      </c>
    </row>
    <row r="45" ht="11.25" customHeight="1">
      <c r="A45" s="1850" t="s">
        <v>2248</v>
      </c>
      <c r="B45" s="1850" t="s">
        <v>16</v>
      </c>
      <c r="C45" s="1850" t="s">
        <v>2427</v>
      </c>
      <c r="D45" s="1850" t="s">
        <v>2428</v>
      </c>
      <c r="E45" s="1850" t="s">
        <v>2429</v>
      </c>
      <c r="F45" s="1850" t="s">
        <v>2408</v>
      </c>
      <c r="G45" s="1850" t="s">
        <v>22</v>
      </c>
      <c r="H45" s="1850" t="s">
        <v>22</v>
      </c>
      <c r="I45" s="1850" t="s">
        <v>810</v>
      </c>
    </row>
    <row r="46" ht="11.25" customHeight="1">
      <c r="A46" s="1850" t="s">
        <v>2248</v>
      </c>
      <c r="B46" s="1850" t="s">
        <v>16</v>
      </c>
      <c r="C46" s="1850" t="s">
        <v>2430</v>
      </c>
      <c r="D46" s="1850" t="s">
        <v>2431</v>
      </c>
      <c r="E46" s="1850" t="s">
        <v>2432</v>
      </c>
      <c r="F46" s="1850" t="s">
        <v>2373</v>
      </c>
      <c r="G46" s="1850" t="s">
        <v>22</v>
      </c>
      <c r="H46" s="1850" t="s">
        <v>22</v>
      </c>
      <c r="I46" s="1850" t="s">
        <v>810</v>
      </c>
    </row>
    <row r="47" ht="11.25" customHeight="1">
      <c r="A47" s="1850" t="s">
        <v>2248</v>
      </c>
      <c r="B47" s="1850" t="s">
        <v>16</v>
      </c>
      <c r="C47" s="1850" t="s">
        <v>2433</v>
      </c>
      <c r="D47" s="1850" t="s">
        <v>2434</v>
      </c>
      <c r="E47" s="1850" t="s">
        <v>2435</v>
      </c>
      <c r="F47" s="1850" t="s">
        <v>2359</v>
      </c>
      <c r="G47" s="1850" t="s">
        <v>22</v>
      </c>
      <c r="H47" s="1850" t="s">
        <v>22</v>
      </c>
      <c r="I47" s="1850" t="s">
        <v>810</v>
      </c>
    </row>
    <row r="48" ht="11.25" customHeight="1">
      <c r="A48" s="1850" t="s">
        <v>2248</v>
      </c>
      <c r="B48" s="1850" t="s">
        <v>16</v>
      </c>
      <c r="C48" s="1850" t="s">
        <v>2436</v>
      </c>
      <c r="D48" s="1850" t="s">
        <v>2437</v>
      </c>
      <c r="E48" s="1850" t="s">
        <v>2425</v>
      </c>
      <c r="F48" s="1850" t="s">
        <v>2438</v>
      </c>
      <c r="G48" s="1850" t="s">
        <v>22</v>
      </c>
      <c r="H48" s="1850" t="s">
        <v>22</v>
      </c>
      <c r="I48" s="1850" t="s">
        <v>810</v>
      </c>
    </row>
    <row r="49" ht="11.25" customHeight="1">
      <c r="A49" s="1850" t="s">
        <v>2248</v>
      </c>
      <c r="B49" s="1850" t="s">
        <v>16</v>
      </c>
      <c r="C49" s="1850" t="s">
        <v>2439</v>
      </c>
      <c r="D49" s="1850" t="s">
        <v>2440</v>
      </c>
      <c r="E49" s="1850" t="s">
        <v>2441</v>
      </c>
      <c r="F49" s="1850" t="s">
        <v>2413</v>
      </c>
      <c r="G49" s="1850" t="s">
        <v>22</v>
      </c>
      <c r="H49" s="1850" t="s">
        <v>22</v>
      </c>
      <c r="I49" s="1850" t="s">
        <v>810</v>
      </c>
    </row>
    <row r="50" ht="11.25" customHeight="1">
      <c r="A50" s="1850" t="s">
        <v>2248</v>
      </c>
      <c r="B50" s="1850" t="s">
        <v>16</v>
      </c>
      <c r="C50" s="1850" t="s">
        <v>2442</v>
      </c>
      <c r="D50" s="1850" t="s">
        <v>2443</v>
      </c>
      <c r="E50" s="1850" t="s">
        <v>2444</v>
      </c>
      <c r="F50" s="1850" t="s">
        <v>2268</v>
      </c>
      <c r="G50" s="1850" t="s">
        <v>22</v>
      </c>
      <c r="H50" s="1850" t="s">
        <v>22</v>
      </c>
      <c r="I50" s="1850" t="s">
        <v>810</v>
      </c>
    </row>
    <row r="51" ht="11.25" customHeight="1">
      <c r="A51" s="1850" t="s">
        <v>2248</v>
      </c>
      <c r="B51" s="1850" t="s">
        <v>16</v>
      </c>
      <c r="C51" s="1850" t="s">
        <v>2445</v>
      </c>
      <c r="D51" s="1850" t="s">
        <v>2446</v>
      </c>
      <c r="E51" s="1850" t="s">
        <v>2444</v>
      </c>
      <c r="F51" s="1850" t="s">
        <v>2264</v>
      </c>
      <c r="G51" s="1850" t="s">
        <v>2447</v>
      </c>
      <c r="H51" s="1850" t="s">
        <v>22</v>
      </c>
      <c r="I51" s="1850" t="s">
        <v>810</v>
      </c>
    </row>
    <row r="52" ht="11.25" customHeight="1">
      <c r="A52" s="1850" t="s">
        <v>2248</v>
      </c>
      <c r="B52" s="1850" t="s">
        <v>16</v>
      </c>
      <c r="C52" s="1850" t="s">
        <v>2448</v>
      </c>
      <c r="D52" s="1850" t="s">
        <v>2449</v>
      </c>
      <c r="E52" s="1850" t="s">
        <v>2450</v>
      </c>
      <c r="F52" s="1850" t="s">
        <v>2264</v>
      </c>
      <c r="G52" s="1850" t="s">
        <v>22</v>
      </c>
      <c r="H52" s="1850" t="s">
        <v>22</v>
      </c>
      <c r="I52" s="1850" t="s">
        <v>810</v>
      </c>
    </row>
    <row r="53" ht="11.25" customHeight="1">
      <c r="A53" s="1850" t="s">
        <v>2248</v>
      </c>
      <c r="B53" s="1850" t="s">
        <v>16</v>
      </c>
      <c r="C53" s="1850" t="s">
        <v>2451</v>
      </c>
      <c r="D53" s="1850" t="s">
        <v>2452</v>
      </c>
      <c r="E53" s="1850" t="s">
        <v>2453</v>
      </c>
      <c r="F53" s="1850" t="s">
        <v>2408</v>
      </c>
      <c r="G53" s="1850" t="s">
        <v>22</v>
      </c>
      <c r="H53" s="1850" t="s">
        <v>22</v>
      </c>
      <c r="I53" s="1850" t="s">
        <v>810</v>
      </c>
    </row>
    <row r="54" ht="11.25" customHeight="1">
      <c r="A54" s="1850" t="s">
        <v>2248</v>
      </c>
      <c r="B54" s="1850" t="s">
        <v>16</v>
      </c>
      <c r="C54" s="1850" t="s">
        <v>2454</v>
      </c>
      <c r="D54" s="1850" t="s">
        <v>2455</v>
      </c>
      <c r="E54" s="1850" t="s">
        <v>2456</v>
      </c>
      <c r="F54" s="1850" t="s">
        <v>2312</v>
      </c>
      <c r="G54" s="1850" t="s">
        <v>22</v>
      </c>
      <c r="H54" s="1850" t="s">
        <v>22</v>
      </c>
      <c r="I54" s="1850" t="s">
        <v>810</v>
      </c>
    </row>
    <row r="55" ht="11.25" customHeight="1">
      <c r="A55" s="1850" t="s">
        <v>2248</v>
      </c>
      <c r="B55" s="1850" t="s">
        <v>16</v>
      </c>
      <c r="C55" s="1850" t="s">
        <v>2457</v>
      </c>
      <c r="D55" s="1850" t="s">
        <v>2458</v>
      </c>
      <c r="E55" s="1850" t="s">
        <v>2459</v>
      </c>
      <c r="F55" s="1850" t="s">
        <v>2373</v>
      </c>
      <c r="G55" s="1850" t="s">
        <v>22</v>
      </c>
      <c r="H55" s="1850" t="s">
        <v>22</v>
      </c>
      <c r="I55" s="1850" t="s">
        <v>810</v>
      </c>
    </row>
    <row r="56" ht="11.25" customHeight="1">
      <c r="A56" s="1850" t="s">
        <v>2248</v>
      </c>
      <c r="B56" s="1850" t="s">
        <v>16</v>
      </c>
      <c r="C56" s="1850" t="s">
        <v>2460</v>
      </c>
      <c r="D56" s="1850" t="s">
        <v>2461</v>
      </c>
      <c r="E56" s="1850" t="s">
        <v>2462</v>
      </c>
      <c r="F56" s="1850" t="s">
        <v>2330</v>
      </c>
      <c r="G56" s="1850" t="s">
        <v>22</v>
      </c>
      <c r="H56" s="1850" t="s">
        <v>22</v>
      </c>
      <c r="I56" s="1850" t="s">
        <v>810</v>
      </c>
    </row>
    <row r="57" ht="11.25" customHeight="1">
      <c r="A57" s="1850" t="s">
        <v>2248</v>
      </c>
      <c r="B57" s="1850" t="s">
        <v>16</v>
      </c>
      <c r="C57" s="1850" t="s">
        <v>2463</v>
      </c>
      <c r="D57" s="1850" t="s">
        <v>2464</v>
      </c>
      <c r="E57" s="1850" t="s">
        <v>2465</v>
      </c>
      <c r="F57" s="1850" t="s">
        <v>2289</v>
      </c>
      <c r="G57" s="1850" t="s">
        <v>22</v>
      </c>
      <c r="H57" s="1850" t="s">
        <v>22</v>
      </c>
      <c r="I57" s="1850" t="s">
        <v>810</v>
      </c>
    </row>
    <row r="58" ht="11.25" customHeight="1">
      <c r="A58" s="1850" t="s">
        <v>2248</v>
      </c>
      <c r="B58" s="1850" t="s">
        <v>16</v>
      </c>
      <c r="C58" s="1850" t="s">
        <v>2466</v>
      </c>
      <c r="D58" s="1850" t="s">
        <v>2467</v>
      </c>
      <c r="E58" s="1850" t="s">
        <v>2468</v>
      </c>
      <c r="F58" s="1850" t="s">
        <v>2264</v>
      </c>
      <c r="G58" s="1850" t="s">
        <v>22</v>
      </c>
      <c r="H58" s="1850" t="s">
        <v>22</v>
      </c>
      <c r="I58" s="1850" t="s">
        <v>810</v>
      </c>
    </row>
    <row r="59" ht="11.25" customHeight="1">
      <c r="A59" s="1850" t="s">
        <v>2248</v>
      </c>
      <c r="B59" s="1850" t="s">
        <v>16</v>
      </c>
      <c r="C59" s="1850" t="s">
        <v>2469</v>
      </c>
      <c r="D59" s="1850" t="s">
        <v>2470</v>
      </c>
      <c r="E59" s="1850" t="s">
        <v>2471</v>
      </c>
      <c r="F59" s="1850" t="s">
        <v>2321</v>
      </c>
      <c r="G59" s="1850" t="s">
        <v>2472</v>
      </c>
      <c r="H59" s="1850" t="s">
        <v>22</v>
      </c>
      <c r="I59" s="1850" t="s">
        <v>810</v>
      </c>
    </row>
    <row r="60" ht="11.25" customHeight="1">
      <c r="A60" s="1850" t="s">
        <v>2248</v>
      </c>
      <c r="B60" s="1850" t="s">
        <v>16</v>
      </c>
      <c r="C60" s="1850" t="s">
        <v>2473</v>
      </c>
      <c r="D60" s="1850" t="s">
        <v>2474</v>
      </c>
      <c r="E60" s="1850" t="s">
        <v>2475</v>
      </c>
      <c r="F60" s="1850" t="s">
        <v>2373</v>
      </c>
      <c r="G60" s="1850" t="s">
        <v>2476</v>
      </c>
      <c r="H60" s="1850" t="s">
        <v>22</v>
      </c>
      <c r="I60" s="1850" t="s">
        <v>810</v>
      </c>
    </row>
    <row r="61" ht="11.25" customHeight="1">
      <c r="A61" s="1850" t="s">
        <v>2248</v>
      </c>
      <c r="B61" s="1850" t="s">
        <v>16</v>
      </c>
      <c r="C61" s="1850" t="s">
        <v>2477</v>
      </c>
      <c r="D61" s="1850" t="s">
        <v>2478</v>
      </c>
      <c r="E61" s="1850" t="s">
        <v>2479</v>
      </c>
      <c r="F61" s="1850" t="s">
        <v>2480</v>
      </c>
      <c r="G61" s="1850" t="s">
        <v>2481</v>
      </c>
      <c r="H61" s="1850" t="s">
        <v>22</v>
      </c>
      <c r="I61" s="1850" t="s">
        <v>810</v>
      </c>
    </row>
    <row r="62" ht="11.25" customHeight="1">
      <c r="A62" s="1850" t="s">
        <v>2248</v>
      </c>
      <c r="B62" s="1850" t="s">
        <v>16</v>
      </c>
      <c r="C62" s="1850" t="s">
        <v>2482</v>
      </c>
      <c r="D62" s="1850" t="s">
        <v>2483</v>
      </c>
      <c r="E62" s="1850" t="s">
        <v>2484</v>
      </c>
      <c r="F62" s="1850" t="s">
        <v>2485</v>
      </c>
      <c r="G62" s="1850" t="s">
        <v>2486</v>
      </c>
      <c r="H62" s="1850" t="s">
        <v>22</v>
      </c>
      <c r="I62" s="1850" t="s">
        <v>810</v>
      </c>
    </row>
    <row r="63" ht="11.25" customHeight="1">
      <c r="A63" s="1850" t="s">
        <v>2248</v>
      </c>
      <c r="B63" s="1850" t="s">
        <v>16</v>
      </c>
      <c r="C63" s="1850" t="s">
        <v>2487</v>
      </c>
      <c r="D63" s="1850" t="s">
        <v>2488</v>
      </c>
      <c r="E63" s="1850" t="s">
        <v>2489</v>
      </c>
      <c r="F63" s="1850" t="s">
        <v>2293</v>
      </c>
      <c r="G63" s="1850" t="s">
        <v>22</v>
      </c>
      <c r="H63" s="1850" t="s">
        <v>22</v>
      </c>
      <c r="I63" s="1850" t="s">
        <v>810</v>
      </c>
    </row>
    <row r="64" ht="11.25" customHeight="1">
      <c r="A64" s="1850" t="s">
        <v>2248</v>
      </c>
      <c r="B64" s="1850" t="s">
        <v>16</v>
      </c>
      <c r="C64" s="1850" t="s">
        <v>2490</v>
      </c>
      <c r="D64" s="1850" t="s">
        <v>2491</v>
      </c>
      <c r="E64" s="1850" t="s">
        <v>2492</v>
      </c>
      <c r="F64" s="1850" t="s">
        <v>2268</v>
      </c>
      <c r="G64" s="1850" t="s">
        <v>22</v>
      </c>
      <c r="H64" s="1850" t="s">
        <v>22</v>
      </c>
      <c r="I64" s="1850" t="s">
        <v>810</v>
      </c>
    </row>
    <row r="65" ht="11.25" customHeight="1">
      <c r="A65" s="1850" t="s">
        <v>2248</v>
      </c>
      <c r="B65" s="1850" t="s">
        <v>16</v>
      </c>
      <c r="C65" s="1850" t="s">
        <v>2493</v>
      </c>
      <c r="D65" s="1850" t="s">
        <v>2494</v>
      </c>
      <c r="E65" s="1850" t="s">
        <v>2495</v>
      </c>
      <c r="F65" s="1850" t="s">
        <v>2256</v>
      </c>
      <c r="G65" s="1850" t="s">
        <v>22</v>
      </c>
      <c r="H65" s="1850" t="s">
        <v>22</v>
      </c>
      <c r="I65" s="1850" t="s">
        <v>810</v>
      </c>
    </row>
    <row r="66" ht="11.25" customHeight="1">
      <c r="A66" s="1850" t="s">
        <v>2248</v>
      </c>
      <c r="B66" s="1850" t="s">
        <v>16</v>
      </c>
      <c r="C66" s="1850" t="s">
        <v>2496</v>
      </c>
      <c r="D66" s="1850" t="s">
        <v>2497</v>
      </c>
      <c r="E66" s="1850" t="s">
        <v>2498</v>
      </c>
      <c r="F66" s="1850" t="s">
        <v>2280</v>
      </c>
      <c r="G66" s="1850" t="s">
        <v>22</v>
      </c>
      <c r="H66" s="1850" t="s">
        <v>22</v>
      </c>
      <c r="I66" s="1850" t="s">
        <v>810</v>
      </c>
    </row>
    <row r="67" ht="11.25" customHeight="1">
      <c r="A67" s="1850" t="s">
        <v>2248</v>
      </c>
      <c r="B67" s="1850" t="s">
        <v>16</v>
      </c>
      <c r="C67" s="1850" t="s">
        <v>2499</v>
      </c>
      <c r="D67" s="1850" t="s">
        <v>2500</v>
      </c>
      <c r="E67" s="1850" t="s">
        <v>2501</v>
      </c>
      <c r="F67" s="1850" t="s">
        <v>2264</v>
      </c>
      <c r="G67" s="1850" t="s">
        <v>2502</v>
      </c>
      <c r="H67" s="1850" t="s">
        <v>22</v>
      </c>
      <c r="I67" s="1850" t="s">
        <v>810</v>
      </c>
    </row>
    <row r="68" ht="11.25" customHeight="1">
      <c r="A68" s="1850" t="s">
        <v>2248</v>
      </c>
      <c r="B68" s="1850" t="s">
        <v>16</v>
      </c>
      <c r="C68" s="1850" t="s">
        <v>2503</v>
      </c>
      <c r="D68" s="1850" t="s">
        <v>2504</v>
      </c>
      <c r="E68" s="1850" t="s">
        <v>2505</v>
      </c>
      <c r="F68" s="1850" t="s">
        <v>2264</v>
      </c>
      <c r="G68" s="1850" t="s">
        <v>22</v>
      </c>
      <c r="H68" s="1850" t="s">
        <v>22</v>
      </c>
      <c r="I68" s="1850" t="s">
        <v>810</v>
      </c>
    </row>
    <row r="69" ht="11.25" customHeight="1">
      <c r="A69" s="1850" t="s">
        <v>2248</v>
      </c>
      <c r="B69" s="1850" t="s">
        <v>16</v>
      </c>
      <c r="C69" s="1850" t="s">
        <v>2506</v>
      </c>
      <c r="D69" s="1850" t="s">
        <v>2507</v>
      </c>
      <c r="E69" s="1850" t="s">
        <v>2508</v>
      </c>
      <c r="F69" s="1850" t="s">
        <v>2264</v>
      </c>
      <c r="G69" s="1850" t="s">
        <v>22</v>
      </c>
      <c r="H69" s="1850" t="s">
        <v>22</v>
      </c>
      <c r="I69" s="1850" t="s">
        <v>810</v>
      </c>
    </row>
    <row r="70" ht="11.25" customHeight="1">
      <c r="A70" s="1850" t="s">
        <v>2248</v>
      </c>
      <c r="B70" s="1850" t="s">
        <v>16</v>
      </c>
      <c r="C70" s="1850" t="s">
        <v>2509</v>
      </c>
      <c r="D70" s="1850" t="s">
        <v>2510</v>
      </c>
      <c r="E70" s="1850" t="s">
        <v>2511</v>
      </c>
      <c r="F70" s="1850" t="s">
        <v>2264</v>
      </c>
      <c r="G70" s="1850" t="s">
        <v>2512</v>
      </c>
      <c r="H70" s="1850" t="s">
        <v>22</v>
      </c>
      <c r="I70" s="1850" t="s">
        <v>810</v>
      </c>
    </row>
    <row r="71" ht="11.25" customHeight="1">
      <c r="A71" s="1850" t="s">
        <v>2248</v>
      </c>
      <c r="B71" s="1850" t="s">
        <v>16</v>
      </c>
      <c r="C71" s="1850" t="s">
        <v>2513</v>
      </c>
      <c r="D71" s="1850" t="s">
        <v>2514</v>
      </c>
      <c r="E71" s="1850" t="s">
        <v>2515</v>
      </c>
      <c r="F71" s="1850" t="s">
        <v>2373</v>
      </c>
      <c r="G71" s="1850" t="s">
        <v>22</v>
      </c>
      <c r="H71" s="1850" t="s">
        <v>22</v>
      </c>
      <c r="I71" s="1850" t="s">
        <v>810</v>
      </c>
    </row>
    <row r="72" ht="11.25" customHeight="1">
      <c r="A72" s="1850" t="s">
        <v>2248</v>
      </c>
      <c r="B72" s="1850" t="s">
        <v>16</v>
      </c>
      <c r="C72" s="1850" t="s">
        <v>2516</v>
      </c>
      <c r="D72" s="1850" t="s">
        <v>2517</v>
      </c>
      <c r="E72" s="1850" t="s">
        <v>2518</v>
      </c>
      <c r="F72" s="1850" t="s">
        <v>2393</v>
      </c>
      <c r="G72" s="1850" t="s">
        <v>22</v>
      </c>
      <c r="H72" s="1850" t="s">
        <v>22</v>
      </c>
      <c r="I72" s="1850" t="s">
        <v>810</v>
      </c>
    </row>
    <row r="73" ht="11.25" customHeight="1">
      <c r="A73" s="1850" t="s">
        <v>2248</v>
      </c>
      <c r="B73" s="1850" t="s">
        <v>16</v>
      </c>
      <c r="C73" s="1850" t="s">
        <v>2519</v>
      </c>
      <c r="D73" s="1850" t="s">
        <v>2520</v>
      </c>
      <c r="E73" s="1850" t="s">
        <v>2521</v>
      </c>
      <c r="F73" s="1850" t="s">
        <v>2289</v>
      </c>
      <c r="G73" s="1850" t="s">
        <v>2522</v>
      </c>
      <c r="H73" s="1850" t="s">
        <v>22</v>
      </c>
      <c r="I73" s="1850" t="s">
        <v>810</v>
      </c>
    </row>
    <row r="74" ht="11.25" customHeight="1">
      <c r="A74" s="1850" t="s">
        <v>2248</v>
      </c>
      <c r="B74" s="1850" t="s">
        <v>16</v>
      </c>
      <c r="C74" s="1850" t="s">
        <v>2523</v>
      </c>
      <c r="D74" s="1850" t="s">
        <v>2524</v>
      </c>
      <c r="E74" s="1850" t="s">
        <v>2525</v>
      </c>
      <c r="F74" s="1850" t="s">
        <v>2280</v>
      </c>
      <c r="G74" s="1850" t="s">
        <v>22</v>
      </c>
      <c r="H74" s="1850" t="s">
        <v>22</v>
      </c>
      <c r="I74" s="1850" t="s">
        <v>810</v>
      </c>
    </row>
    <row r="75" ht="11.25" customHeight="1">
      <c r="A75" s="1850" t="s">
        <v>2248</v>
      </c>
      <c r="B75" s="1850" t="s">
        <v>16</v>
      </c>
      <c r="C75" s="1850" t="s">
        <v>2526</v>
      </c>
      <c r="D75" s="1850" t="s">
        <v>2527</v>
      </c>
      <c r="E75" s="1850" t="s">
        <v>2528</v>
      </c>
      <c r="F75" s="1850" t="s">
        <v>2252</v>
      </c>
      <c r="G75" s="1850" t="s">
        <v>22</v>
      </c>
      <c r="H75" s="1850" t="s">
        <v>22</v>
      </c>
      <c r="I75" s="1850" t="s">
        <v>810</v>
      </c>
    </row>
    <row r="76" ht="11.25" customHeight="1">
      <c r="A76" s="1850" t="s">
        <v>2248</v>
      </c>
      <c r="B76" s="1850" t="s">
        <v>16</v>
      </c>
      <c r="C76" s="1850" t="s">
        <v>2529</v>
      </c>
      <c r="D76" s="1850" t="s">
        <v>2530</v>
      </c>
      <c r="E76" s="1850" t="s">
        <v>2531</v>
      </c>
      <c r="F76" s="1850" t="s">
        <v>2383</v>
      </c>
      <c r="G76" s="1850" t="s">
        <v>22</v>
      </c>
      <c r="H76" s="1850" t="s">
        <v>22</v>
      </c>
      <c r="I76" s="1850" t="s">
        <v>810</v>
      </c>
    </row>
    <row r="77" ht="11.25" customHeight="1">
      <c r="A77" s="1850" t="s">
        <v>2248</v>
      </c>
      <c r="B77" s="1850" t="s">
        <v>16</v>
      </c>
      <c r="C77" s="1850" t="s">
        <v>2532</v>
      </c>
      <c r="D77" s="1850" t="s">
        <v>2533</v>
      </c>
      <c r="E77" s="1850" t="s">
        <v>2534</v>
      </c>
      <c r="F77" s="1850" t="s">
        <v>2349</v>
      </c>
      <c r="G77" s="1850" t="s">
        <v>22</v>
      </c>
      <c r="H77" s="1850" t="s">
        <v>22</v>
      </c>
      <c r="I77" s="1850" t="s">
        <v>810</v>
      </c>
    </row>
    <row r="78" ht="11.25" customHeight="1">
      <c r="A78" s="1850" t="s">
        <v>2248</v>
      </c>
      <c r="B78" s="1850" t="s">
        <v>16</v>
      </c>
      <c r="C78" s="1850" t="s">
        <v>2535</v>
      </c>
      <c r="D78" s="1850" t="s">
        <v>2536</v>
      </c>
      <c r="E78" s="1850" t="s">
        <v>2537</v>
      </c>
      <c r="F78" s="1850" t="s">
        <v>2388</v>
      </c>
      <c r="G78" s="1850" t="s">
        <v>2538</v>
      </c>
      <c r="H78" s="1850" t="s">
        <v>22</v>
      </c>
      <c r="I78" s="1850" t="s">
        <v>810</v>
      </c>
    </row>
    <row r="79" ht="11.25" customHeight="1">
      <c r="A79" s="1850" t="s">
        <v>2248</v>
      </c>
      <c r="B79" s="1850" t="s">
        <v>16</v>
      </c>
      <c r="C79" s="1850" t="s">
        <v>2539</v>
      </c>
      <c r="D79" s="1850" t="s">
        <v>2540</v>
      </c>
      <c r="E79" s="1850" t="s">
        <v>2541</v>
      </c>
      <c r="F79" s="1850" t="s">
        <v>2542</v>
      </c>
      <c r="G79" s="1850" t="s">
        <v>22</v>
      </c>
      <c r="H79" s="1850" t="s">
        <v>22</v>
      </c>
      <c r="I79" s="1850" t="s">
        <v>810</v>
      </c>
    </row>
    <row r="80" ht="11.25" customHeight="1">
      <c r="A80" s="1850" t="s">
        <v>2248</v>
      </c>
      <c r="B80" s="1850" t="s">
        <v>16</v>
      </c>
      <c r="C80" s="1850" t="s">
        <v>2543</v>
      </c>
      <c r="D80" s="1850" t="s">
        <v>2544</v>
      </c>
      <c r="E80" s="1850" t="s">
        <v>2545</v>
      </c>
      <c r="F80" s="1850" t="s">
        <v>2546</v>
      </c>
      <c r="G80" s="1850" t="s">
        <v>22</v>
      </c>
      <c r="H80" s="1850" t="s">
        <v>22</v>
      </c>
      <c r="I80" s="1850" t="s">
        <v>810</v>
      </c>
    </row>
    <row r="81" ht="11.25" customHeight="1">
      <c r="A81" s="1850" t="s">
        <v>2248</v>
      </c>
      <c r="B81" s="1850" t="s">
        <v>16</v>
      </c>
      <c r="C81" s="1850" t="s">
        <v>2547</v>
      </c>
      <c r="D81" s="1850" t="s">
        <v>2548</v>
      </c>
      <c r="E81" s="1850" t="s">
        <v>2549</v>
      </c>
      <c r="F81" s="1850" t="s">
        <v>2264</v>
      </c>
      <c r="G81" s="1850" t="s">
        <v>22</v>
      </c>
      <c r="H81" s="1850" t="s">
        <v>22</v>
      </c>
      <c r="I81" s="1850" t="s">
        <v>810</v>
      </c>
    </row>
    <row r="82" ht="11.25" customHeight="1">
      <c r="A82" s="1850" t="s">
        <v>2248</v>
      </c>
      <c r="B82" s="1850" t="s">
        <v>16</v>
      </c>
      <c r="C82" s="1850" t="s">
        <v>2550</v>
      </c>
      <c r="D82" s="1850" t="s">
        <v>2551</v>
      </c>
      <c r="E82" s="1850" t="s">
        <v>2552</v>
      </c>
      <c r="F82" s="1850" t="s">
        <v>2264</v>
      </c>
      <c r="G82" s="1850" t="s">
        <v>2553</v>
      </c>
      <c r="H82" s="1850" t="s">
        <v>22</v>
      </c>
      <c r="I82" s="1850" t="s">
        <v>810</v>
      </c>
    </row>
    <row r="83" ht="11.25" customHeight="1">
      <c r="A83" s="1850" t="s">
        <v>2248</v>
      </c>
      <c r="B83" s="1850" t="s">
        <v>16</v>
      </c>
      <c r="C83" s="1850" t="s">
        <v>2554</v>
      </c>
      <c r="D83" s="1850" t="s">
        <v>2555</v>
      </c>
      <c r="E83" s="1850" t="s">
        <v>2556</v>
      </c>
      <c r="F83" s="1850" t="s">
        <v>2557</v>
      </c>
      <c r="G83" s="1850" t="s">
        <v>22</v>
      </c>
      <c r="H83" s="1850" t="s">
        <v>22</v>
      </c>
      <c r="I83" s="1850" t="s">
        <v>810</v>
      </c>
    </row>
    <row r="84" ht="11.25" customHeight="1">
      <c r="A84" s="1850" t="s">
        <v>2248</v>
      </c>
      <c r="B84" s="1850" t="s">
        <v>16</v>
      </c>
      <c r="C84" s="1850" t="s">
        <v>2558</v>
      </c>
      <c r="D84" s="1850" t="s">
        <v>2559</v>
      </c>
      <c r="E84" s="1850" t="s">
        <v>2560</v>
      </c>
      <c r="F84" s="1850" t="s">
        <v>2408</v>
      </c>
      <c r="G84" s="1850" t="s">
        <v>22</v>
      </c>
      <c r="H84" s="1850" t="s">
        <v>22</v>
      </c>
      <c r="I84" s="1850" t="s">
        <v>810</v>
      </c>
    </row>
    <row r="85" ht="11.25" customHeight="1">
      <c r="A85" s="1850" t="s">
        <v>2248</v>
      </c>
      <c r="B85" s="1850" t="s">
        <v>16</v>
      </c>
      <c r="C85" s="1850" t="s">
        <v>2561</v>
      </c>
      <c r="D85" s="1850" t="s">
        <v>2562</v>
      </c>
      <c r="E85" s="1850" t="s">
        <v>2563</v>
      </c>
      <c r="F85" s="1850" t="s">
        <v>2557</v>
      </c>
      <c r="G85" s="1850" t="s">
        <v>2564</v>
      </c>
      <c r="H85" s="1850" t="s">
        <v>22</v>
      </c>
      <c r="I85" s="1850" t="s">
        <v>810</v>
      </c>
    </row>
    <row r="86" ht="11.25" customHeight="1">
      <c r="A86" s="1850" t="s">
        <v>2248</v>
      </c>
      <c r="B86" s="1850" t="s">
        <v>16</v>
      </c>
      <c r="C86" s="1850" t="s">
        <v>2565</v>
      </c>
      <c r="D86" s="1850" t="s">
        <v>2566</v>
      </c>
      <c r="E86" s="1850" t="s">
        <v>2567</v>
      </c>
      <c r="F86" s="1850" t="s">
        <v>2264</v>
      </c>
      <c r="G86" s="1850" t="s">
        <v>22</v>
      </c>
      <c r="H86" s="1850" t="s">
        <v>22</v>
      </c>
      <c r="I86" s="1850" t="s">
        <v>810</v>
      </c>
    </row>
    <row r="87" ht="11.25" customHeight="1">
      <c r="A87" s="1850" t="s">
        <v>2248</v>
      </c>
      <c r="B87" s="1850" t="s">
        <v>16</v>
      </c>
      <c r="C87" s="1850" t="s">
        <v>2568</v>
      </c>
      <c r="D87" s="1850" t="s">
        <v>2569</v>
      </c>
      <c r="E87" s="1850" t="s">
        <v>2570</v>
      </c>
      <c r="F87" s="1850" t="s">
        <v>2571</v>
      </c>
      <c r="G87" s="1850" t="s">
        <v>22</v>
      </c>
      <c r="H87" s="1850" t="s">
        <v>22</v>
      </c>
      <c r="I87" s="1850" t="s">
        <v>810</v>
      </c>
    </row>
    <row r="88" ht="11.25" customHeight="1">
      <c r="A88" s="1850" t="s">
        <v>2248</v>
      </c>
      <c r="B88" s="1850" t="s">
        <v>16</v>
      </c>
      <c r="C88" s="1850" t="s">
        <v>2572</v>
      </c>
      <c r="D88" s="1850" t="s">
        <v>2573</v>
      </c>
      <c r="E88" s="1850" t="s">
        <v>2574</v>
      </c>
      <c r="F88" s="1850" t="s">
        <v>2575</v>
      </c>
      <c r="G88" s="1850" t="s">
        <v>22</v>
      </c>
      <c r="H88" s="1850" t="s">
        <v>22</v>
      </c>
      <c r="I88" s="1850" t="s">
        <v>810</v>
      </c>
    </row>
    <row r="89" ht="11.25" customHeight="1">
      <c r="A89" s="1850" t="s">
        <v>2248</v>
      </c>
      <c r="B89" s="1850" t="s">
        <v>16</v>
      </c>
      <c r="C89" s="1850" t="s">
        <v>2576</v>
      </c>
      <c r="D89" s="1850" t="s">
        <v>2577</v>
      </c>
      <c r="E89" s="1850" t="s">
        <v>2578</v>
      </c>
      <c r="F89" s="1850" t="s">
        <v>2579</v>
      </c>
      <c r="G89" s="1850" t="s">
        <v>2580</v>
      </c>
      <c r="H89" s="1850" t="s">
        <v>22</v>
      </c>
      <c r="I89" s="1850" t="s">
        <v>810</v>
      </c>
    </row>
    <row r="90" ht="11.25" customHeight="1">
      <c r="A90" s="1850" t="s">
        <v>2248</v>
      </c>
      <c r="B90" s="1850" t="s">
        <v>16</v>
      </c>
      <c r="C90" s="1850" t="s">
        <v>2581</v>
      </c>
      <c r="D90" s="1850" t="s">
        <v>2582</v>
      </c>
      <c r="E90" s="1850" t="s">
        <v>2425</v>
      </c>
      <c r="F90" s="1850" t="s">
        <v>2583</v>
      </c>
      <c r="G90" s="1850" t="s">
        <v>22</v>
      </c>
      <c r="H90" s="1850" t="s">
        <v>22</v>
      </c>
      <c r="I90" s="1850" t="s">
        <v>810</v>
      </c>
    </row>
    <row r="91" ht="11.25" customHeight="1">
      <c r="A91" s="1850" t="s">
        <v>2248</v>
      </c>
      <c r="B91" s="1850" t="s">
        <v>16</v>
      </c>
      <c r="C91" s="1850" t="s">
        <v>2584</v>
      </c>
      <c r="D91" s="1850" t="s">
        <v>2585</v>
      </c>
      <c r="E91" s="1850" t="s">
        <v>2586</v>
      </c>
      <c r="F91" s="1850" t="s">
        <v>2252</v>
      </c>
      <c r="G91" s="1850" t="s">
        <v>22</v>
      </c>
      <c r="H91" s="1850" t="s">
        <v>22</v>
      </c>
      <c r="I91" s="1850" t="s">
        <v>810</v>
      </c>
    </row>
    <row r="92" ht="11.25" customHeight="1">
      <c r="A92" s="1850" t="s">
        <v>2248</v>
      </c>
      <c r="B92" s="1850" t="s">
        <v>16</v>
      </c>
      <c r="C92" s="1850" t="s">
        <v>2587</v>
      </c>
      <c r="D92" s="1850" t="s">
        <v>2588</v>
      </c>
      <c r="E92" s="1850" t="s">
        <v>2589</v>
      </c>
      <c r="F92" s="1850" t="s">
        <v>2590</v>
      </c>
      <c r="G92" s="1850" t="s">
        <v>22</v>
      </c>
      <c r="H92" s="1850" t="s">
        <v>22</v>
      </c>
      <c r="I92" s="1850" t="s">
        <v>810</v>
      </c>
    </row>
    <row r="93" ht="11.25" customHeight="1">
      <c r="A93" s="1850" t="s">
        <v>2248</v>
      </c>
      <c r="B93" s="1850" t="s">
        <v>16</v>
      </c>
      <c r="C93" s="1850" t="s">
        <v>2591</v>
      </c>
      <c r="D93" s="1850" t="s">
        <v>2592</v>
      </c>
      <c r="E93" s="1850" t="s">
        <v>2593</v>
      </c>
      <c r="F93" s="1850" t="s">
        <v>2335</v>
      </c>
      <c r="G93" s="1850" t="s">
        <v>22</v>
      </c>
      <c r="H93" s="1850" t="s">
        <v>22</v>
      </c>
      <c r="I93" s="1850" t="s">
        <v>810</v>
      </c>
    </row>
    <row r="94" ht="11.25" customHeight="1">
      <c r="A94" s="1850" t="s">
        <v>2248</v>
      </c>
      <c r="B94" s="1850" t="s">
        <v>16</v>
      </c>
      <c r="C94" s="1850" t="s">
        <v>2594</v>
      </c>
      <c r="D94" s="1850" t="s">
        <v>2595</v>
      </c>
      <c r="E94" s="1850" t="s">
        <v>2596</v>
      </c>
      <c r="F94" s="1850" t="s">
        <v>2359</v>
      </c>
      <c r="G94" s="1850" t="s">
        <v>22</v>
      </c>
      <c r="H94" s="1850" t="s">
        <v>22</v>
      </c>
      <c r="I94" s="1850" t="s">
        <v>810</v>
      </c>
    </row>
    <row r="95" ht="11.25" customHeight="1">
      <c r="A95" s="1850" t="s">
        <v>2248</v>
      </c>
      <c r="B95" s="1850" t="s">
        <v>16</v>
      </c>
      <c r="C95" s="1850" t="s">
        <v>2597</v>
      </c>
      <c r="D95" s="1850" t="s">
        <v>2598</v>
      </c>
      <c r="E95" s="1850" t="s">
        <v>2599</v>
      </c>
      <c r="F95" s="1850" t="s">
        <v>2252</v>
      </c>
      <c r="G95" s="1850" t="s">
        <v>22</v>
      </c>
      <c r="H95" s="1850" t="s">
        <v>22</v>
      </c>
      <c r="I95" s="1850" t="s">
        <v>810</v>
      </c>
    </row>
    <row r="96" ht="11.25" customHeight="1">
      <c r="A96" s="1850" t="s">
        <v>2248</v>
      </c>
      <c r="B96" s="1850" t="s">
        <v>16</v>
      </c>
      <c r="C96" s="1850" t="s">
        <v>2600</v>
      </c>
      <c r="D96" s="1850" t="s">
        <v>2601</v>
      </c>
      <c r="E96" s="1850" t="s">
        <v>2602</v>
      </c>
      <c r="F96" s="1850" t="s">
        <v>2603</v>
      </c>
      <c r="G96" s="1850" t="s">
        <v>2604</v>
      </c>
      <c r="H96" s="1850" t="s">
        <v>22</v>
      </c>
      <c r="I96" s="1850" t="s">
        <v>810</v>
      </c>
    </row>
    <row r="97" ht="11.25" customHeight="1">
      <c r="A97" s="1850" t="s">
        <v>2248</v>
      </c>
      <c r="B97" s="1850" t="s">
        <v>16</v>
      </c>
      <c r="C97" s="1850" t="s">
        <v>2605</v>
      </c>
      <c r="D97" s="1850" t="s">
        <v>2606</v>
      </c>
      <c r="E97" s="1850" t="s">
        <v>2607</v>
      </c>
      <c r="F97" s="1850" t="s">
        <v>2608</v>
      </c>
      <c r="G97" s="1850" t="s">
        <v>2609</v>
      </c>
      <c r="H97" s="1850" t="s">
        <v>22</v>
      </c>
      <c r="I97" s="1850" t="s">
        <v>810</v>
      </c>
    </row>
    <row r="98" ht="11.25" customHeight="1">
      <c r="A98" s="1850" t="s">
        <v>2248</v>
      </c>
      <c r="B98" s="1850" t="s">
        <v>16</v>
      </c>
      <c r="C98" s="1850" t="s">
        <v>2610</v>
      </c>
      <c r="D98" s="1850" t="s">
        <v>2611</v>
      </c>
      <c r="E98" s="1850" t="s">
        <v>2607</v>
      </c>
      <c r="F98" s="1850" t="s">
        <v>2612</v>
      </c>
      <c r="G98" s="1850" t="s">
        <v>2609</v>
      </c>
      <c r="H98" s="1850" t="s">
        <v>22</v>
      </c>
      <c r="I98" s="1850" t="s">
        <v>810</v>
      </c>
    </row>
    <row r="99" ht="11.25" customHeight="1">
      <c r="A99" s="1850" t="s">
        <v>2248</v>
      </c>
      <c r="B99" s="1850" t="s">
        <v>16</v>
      </c>
      <c r="C99" s="1850" t="s">
        <v>2613</v>
      </c>
      <c r="D99" s="1850" t="s">
        <v>2614</v>
      </c>
      <c r="E99" s="1850" t="s">
        <v>2589</v>
      </c>
      <c r="F99" s="1850" t="s">
        <v>2615</v>
      </c>
      <c r="G99" s="1850" t="s">
        <v>22</v>
      </c>
      <c r="H99" s="1850" t="s">
        <v>22</v>
      </c>
      <c r="I99" s="1850" t="s">
        <v>810</v>
      </c>
    </row>
    <row r="100" ht="11.25" customHeight="1">
      <c r="A100" s="1850" t="s">
        <v>2248</v>
      </c>
      <c r="B100" s="1850" t="s">
        <v>16</v>
      </c>
      <c r="C100" s="1850" t="s">
        <v>2616</v>
      </c>
      <c r="D100" s="1850" t="s">
        <v>2617</v>
      </c>
      <c r="E100" s="1850" t="s">
        <v>2618</v>
      </c>
      <c r="F100" s="1850" t="s">
        <v>2619</v>
      </c>
      <c r="G100" s="1850" t="s">
        <v>2620</v>
      </c>
      <c r="H100" s="1850" t="s">
        <v>22</v>
      </c>
      <c r="I100" s="1850" t="s">
        <v>810</v>
      </c>
    </row>
    <row r="101" ht="11.25" customHeight="1">
      <c r="A101" s="1850" t="s">
        <v>2248</v>
      </c>
      <c r="B101" s="1850" t="s">
        <v>16</v>
      </c>
      <c r="C101" s="1850" t="s">
        <v>2621</v>
      </c>
      <c r="D101" s="1850" t="s">
        <v>2622</v>
      </c>
      <c r="E101" s="1850" t="s">
        <v>2623</v>
      </c>
      <c r="F101" s="1850" t="s">
        <v>2312</v>
      </c>
      <c r="G101" s="1850" t="s">
        <v>2624</v>
      </c>
      <c r="H101" s="1850" t="s">
        <v>22</v>
      </c>
      <c r="I101" s="1850" t="s">
        <v>810</v>
      </c>
    </row>
    <row r="102" ht="11.25" customHeight="1">
      <c r="A102" s="1850" t="s">
        <v>2248</v>
      </c>
      <c r="B102" s="1850" t="s">
        <v>16</v>
      </c>
      <c r="C102" s="1850" t="s">
        <v>2625</v>
      </c>
      <c r="D102" s="1850" t="s">
        <v>2626</v>
      </c>
      <c r="E102" s="1850" t="s">
        <v>2627</v>
      </c>
      <c r="F102" s="1850" t="s">
        <v>2628</v>
      </c>
      <c r="G102" s="1850" t="s">
        <v>22</v>
      </c>
      <c r="H102" s="1850" t="s">
        <v>22</v>
      </c>
      <c r="I102" s="1850" t="s">
        <v>810</v>
      </c>
    </row>
    <row r="103" ht="11.25" customHeight="1">
      <c r="A103" s="1850" t="s">
        <v>2248</v>
      </c>
      <c r="B103" s="1850" t="s">
        <v>16</v>
      </c>
      <c r="C103" s="1850" t="s">
        <v>13</v>
      </c>
      <c r="D103" s="1850" t="s">
        <v>46</v>
      </c>
      <c r="E103" s="1850" t="s">
        <v>49</v>
      </c>
      <c r="F103" s="1850" t="s">
        <v>51</v>
      </c>
      <c r="G103" s="1850" t="s">
        <v>2629</v>
      </c>
      <c r="H103" s="1850" t="s">
        <v>22</v>
      </c>
      <c r="I103" s="1850" t="s">
        <v>810</v>
      </c>
    </row>
    <row r="104" ht="11.25" customHeight="1">
      <c r="A104" s="1850" t="s">
        <v>2248</v>
      </c>
      <c r="B104" s="1850" t="s">
        <v>16</v>
      </c>
      <c r="C104" s="1850" t="s">
        <v>2630</v>
      </c>
      <c r="D104" s="1850" t="s">
        <v>2631</v>
      </c>
      <c r="E104" s="1850" t="s">
        <v>2632</v>
      </c>
      <c r="F104" s="1850" t="s">
        <v>2633</v>
      </c>
      <c r="G104" s="1850" t="s">
        <v>22</v>
      </c>
      <c r="H104" s="1850" t="s">
        <v>22</v>
      </c>
      <c r="I104" s="1850" t="s">
        <v>810</v>
      </c>
    </row>
    <row r="105" ht="11.25" customHeight="1">
      <c r="A105" s="1850" t="s">
        <v>2248</v>
      </c>
      <c r="B105" s="1850" t="s">
        <v>16</v>
      </c>
      <c r="C105" s="1850" t="s">
        <v>2257</v>
      </c>
      <c r="D105" s="1850" t="s">
        <v>2258</v>
      </c>
      <c r="E105" s="1850" t="s">
        <v>2259</v>
      </c>
      <c r="F105" s="1850" t="s">
        <v>2260</v>
      </c>
      <c r="G105" s="1850" t="s">
        <v>22</v>
      </c>
      <c r="H105" s="1850" t="s">
        <v>22</v>
      </c>
      <c r="I105" s="1850" t="s">
        <v>896</v>
      </c>
    </row>
    <row r="106" ht="11.25" customHeight="1">
      <c r="A106" s="1850" t="s">
        <v>2248</v>
      </c>
      <c r="B106" s="1850" t="s">
        <v>16</v>
      </c>
      <c r="C106" s="1850" t="s">
        <v>2273</v>
      </c>
      <c r="D106" s="1850" t="s">
        <v>2274</v>
      </c>
      <c r="E106" s="1850" t="s">
        <v>2275</v>
      </c>
      <c r="F106" s="1850" t="s">
        <v>2276</v>
      </c>
      <c r="G106" s="1850" t="s">
        <v>22</v>
      </c>
      <c r="H106" s="1850" t="s">
        <v>22</v>
      </c>
      <c r="I106" s="1850" t="s">
        <v>896</v>
      </c>
    </row>
    <row r="107" ht="11.25" customHeight="1">
      <c r="A107" s="1850" t="s">
        <v>2248</v>
      </c>
      <c r="B107" s="1850" t="s">
        <v>16</v>
      </c>
      <c r="C107" s="1850" t="s">
        <v>2286</v>
      </c>
      <c r="D107" s="1850" t="s">
        <v>2287</v>
      </c>
      <c r="E107" s="1850" t="s">
        <v>2288</v>
      </c>
      <c r="F107" s="1850" t="s">
        <v>2289</v>
      </c>
      <c r="G107" s="1850" t="s">
        <v>22</v>
      </c>
      <c r="H107" s="1850" t="s">
        <v>22</v>
      </c>
      <c r="I107" s="1850" t="s">
        <v>896</v>
      </c>
    </row>
    <row r="108" ht="11.25" customHeight="1">
      <c r="A108" s="1850" t="s">
        <v>2248</v>
      </c>
      <c r="B108" s="1850" t="s">
        <v>16</v>
      </c>
      <c r="C108" s="1850" t="s">
        <v>2290</v>
      </c>
      <c r="D108" s="1850" t="s">
        <v>2291</v>
      </c>
      <c r="E108" s="1850" t="s">
        <v>2292</v>
      </c>
      <c r="F108" s="1850" t="s">
        <v>2293</v>
      </c>
      <c r="G108" s="1850" t="s">
        <v>22</v>
      </c>
      <c r="H108" s="1850" t="s">
        <v>22</v>
      </c>
      <c r="I108" s="1850" t="s">
        <v>896</v>
      </c>
    </row>
    <row r="109" ht="11.25" customHeight="1">
      <c r="A109" s="1850" t="s">
        <v>2248</v>
      </c>
      <c r="B109" s="1850" t="s">
        <v>16</v>
      </c>
      <c r="C109" s="1850" t="s">
        <v>2294</v>
      </c>
      <c r="D109" s="1850" t="s">
        <v>2295</v>
      </c>
      <c r="E109" s="1850" t="s">
        <v>2296</v>
      </c>
      <c r="F109" s="1850" t="s">
        <v>2293</v>
      </c>
      <c r="G109" s="1850" t="s">
        <v>22</v>
      </c>
      <c r="H109" s="1850" t="s">
        <v>22</v>
      </c>
      <c r="I109" s="1850" t="s">
        <v>896</v>
      </c>
    </row>
    <row r="110" ht="11.25" customHeight="1">
      <c r="A110" s="1850" t="s">
        <v>2248</v>
      </c>
      <c r="B110" s="1850" t="s">
        <v>16</v>
      </c>
      <c r="C110" s="1850" t="s">
        <v>22</v>
      </c>
      <c r="D110" s="1850" t="s">
        <v>2297</v>
      </c>
      <c r="E110" s="1850" t="s">
        <v>2298</v>
      </c>
      <c r="F110" s="1850" t="s">
        <v>2264</v>
      </c>
      <c r="G110" s="1850" t="s">
        <v>22</v>
      </c>
      <c r="H110" s="1850" t="s">
        <v>22</v>
      </c>
      <c r="I110" s="1850" t="s">
        <v>896</v>
      </c>
    </row>
    <row r="111" ht="11.25" customHeight="1">
      <c r="A111" s="1850" t="s">
        <v>2248</v>
      </c>
      <c r="B111" s="1850" t="s">
        <v>16</v>
      </c>
      <c r="C111" s="1850" t="s">
        <v>2309</v>
      </c>
      <c r="D111" s="1850" t="s">
        <v>2310</v>
      </c>
      <c r="E111" s="1850" t="s">
        <v>2311</v>
      </c>
      <c r="F111" s="1850" t="s">
        <v>2312</v>
      </c>
      <c r="G111" s="1850" t="s">
        <v>22</v>
      </c>
      <c r="H111" s="1850" t="s">
        <v>22</v>
      </c>
      <c r="I111" s="1850" t="s">
        <v>896</v>
      </c>
    </row>
    <row r="112" ht="11.25" customHeight="1">
      <c r="A112" s="1850" t="s">
        <v>2248</v>
      </c>
      <c r="B112" s="1850" t="s">
        <v>16</v>
      </c>
      <c r="C112" s="1850" t="s">
        <v>2318</v>
      </c>
      <c r="D112" s="1850" t="s">
        <v>2319</v>
      </c>
      <c r="E112" s="1850" t="s">
        <v>2320</v>
      </c>
      <c r="F112" s="1850" t="s">
        <v>2321</v>
      </c>
      <c r="G112" s="1850" t="s">
        <v>2322</v>
      </c>
      <c r="H112" s="1850" t="s">
        <v>22</v>
      </c>
      <c r="I112" s="1850" t="s">
        <v>896</v>
      </c>
    </row>
    <row r="113" ht="11.25" customHeight="1">
      <c r="A113" s="1850" t="s">
        <v>2248</v>
      </c>
      <c r="B113" s="1850" t="s">
        <v>16</v>
      </c>
      <c r="C113" s="1850" t="s">
        <v>2323</v>
      </c>
      <c r="D113" s="1850" t="s">
        <v>2324</v>
      </c>
      <c r="E113" s="1850" t="s">
        <v>2325</v>
      </c>
      <c r="F113" s="1850" t="s">
        <v>2289</v>
      </c>
      <c r="G113" s="1850" t="s">
        <v>2326</v>
      </c>
      <c r="H113" s="1850" t="s">
        <v>22</v>
      </c>
      <c r="I113" s="1850" t="s">
        <v>896</v>
      </c>
    </row>
    <row r="114" ht="11.25" customHeight="1">
      <c r="A114" s="1850" t="s">
        <v>2248</v>
      </c>
      <c r="B114" s="1850" t="s">
        <v>16</v>
      </c>
      <c r="C114" s="1850" t="s">
        <v>2332</v>
      </c>
      <c r="D114" s="1850" t="s">
        <v>2333</v>
      </c>
      <c r="E114" s="1850" t="s">
        <v>2334</v>
      </c>
      <c r="F114" s="1850" t="s">
        <v>2335</v>
      </c>
      <c r="G114" s="1850" t="s">
        <v>2336</v>
      </c>
      <c r="H114" s="1850" t="s">
        <v>22</v>
      </c>
      <c r="I114" s="1850" t="s">
        <v>896</v>
      </c>
    </row>
    <row r="115" ht="11.25" customHeight="1">
      <c r="A115" s="1850" t="s">
        <v>2248</v>
      </c>
      <c r="B115" s="1850" t="s">
        <v>16</v>
      </c>
      <c r="C115" s="1850" t="s">
        <v>2337</v>
      </c>
      <c r="D115" s="1850" t="s">
        <v>2338</v>
      </c>
      <c r="E115" s="1850" t="s">
        <v>2339</v>
      </c>
      <c r="F115" s="1850" t="s">
        <v>2340</v>
      </c>
      <c r="G115" s="1850" t="s">
        <v>2341</v>
      </c>
      <c r="H115" s="1850" t="s">
        <v>22</v>
      </c>
      <c r="I115" s="1850" t="s">
        <v>896</v>
      </c>
    </row>
    <row r="116" ht="11.25" customHeight="1">
      <c r="A116" s="1850" t="s">
        <v>2248</v>
      </c>
      <c r="B116" s="1850" t="s">
        <v>16</v>
      </c>
      <c r="C116" s="1850" t="s">
        <v>2342</v>
      </c>
      <c r="D116" s="1850" t="s">
        <v>2343</v>
      </c>
      <c r="E116" s="1850" t="s">
        <v>2344</v>
      </c>
      <c r="F116" s="1850" t="s">
        <v>2268</v>
      </c>
      <c r="G116" s="1850" t="s">
        <v>2345</v>
      </c>
      <c r="H116" s="1850" t="s">
        <v>22</v>
      </c>
      <c r="I116" s="1850" t="s">
        <v>896</v>
      </c>
    </row>
    <row r="117" ht="11.25" customHeight="1">
      <c r="A117" s="1850" t="s">
        <v>2248</v>
      </c>
      <c r="B117" s="1850" t="s">
        <v>16</v>
      </c>
      <c r="C117" s="1850" t="s">
        <v>2346</v>
      </c>
      <c r="D117" s="1850" t="s">
        <v>2347</v>
      </c>
      <c r="E117" s="1850" t="s">
        <v>2348</v>
      </c>
      <c r="F117" s="1850" t="s">
        <v>2349</v>
      </c>
      <c r="G117" s="1850" t="s">
        <v>2350</v>
      </c>
      <c r="H117" s="1850" t="s">
        <v>22</v>
      </c>
      <c r="I117" s="1850" t="s">
        <v>896</v>
      </c>
    </row>
    <row r="118" ht="11.25" customHeight="1">
      <c r="A118" s="1850" t="s">
        <v>2248</v>
      </c>
      <c r="B118" s="1850" t="s">
        <v>16</v>
      </c>
      <c r="C118" s="1850" t="s">
        <v>2351</v>
      </c>
      <c r="D118" s="1850" t="s">
        <v>2352</v>
      </c>
      <c r="E118" s="1850" t="s">
        <v>2353</v>
      </c>
      <c r="F118" s="1850" t="s">
        <v>2354</v>
      </c>
      <c r="G118" s="1850" t="s">
        <v>2355</v>
      </c>
      <c r="H118" s="1850" t="s">
        <v>22</v>
      </c>
      <c r="I118" s="1850" t="s">
        <v>896</v>
      </c>
    </row>
    <row r="119" ht="11.25" customHeight="1">
      <c r="A119" s="1850" t="s">
        <v>2248</v>
      </c>
      <c r="B119" s="1850" t="s">
        <v>16</v>
      </c>
      <c r="C119" s="1850" t="s">
        <v>2365</v>
      </c>
      <c r="D119" s="1850" t="s">
        <v>2366</v>
      </c>
      <c r="E119" s="1850" t="s">
        <v>2367</v>
      </c>
      <c r="F119" s="1850" t="s">
        <v>2368</v>
      </c>
      <c r="G119" s="1850" t="s">
        <v>2369</v>
      </c>
      <c r="H119" s="1850" t="s">
        <v>22</v>
      </c>
      <c r="I119" s="1850" t="s">
        <v>896</v>
      </c>
    </row>
    <row r="120" ht="11.25" customHeight="1">
      <c r="A120" s="1850" t="s">
        <v>2248</v>
      </c>
      <c r="B120" s="1850" t="s">
        <v>16</v>
      </c>
      <c r="C120" s="1850" t="s">
        <v>2370</v>
      </c>
      <c r="D120" s="1850" t="s">
        <v>2371</v>
      </c>
      <c r="E120" s="1850" t="s">
        <v>2372</v>
      </c>
      <c r="F120" s="1850" t="s">
        <v>2373</v>
      </c>
      <c r="G120" s="1850" t="s">
        <v>2374</v>
      </c>
      <c r="H120" s="1850" t="s">
        <v>22</v>
      </c>
      <c r="I120" s="1850" t="s">
        <v>896</v>
      </c>
    </row>
    <row r="121" ht="11.25" customHeight="1">
      <c r="A121" s="1850" t="s">
        <v>2248</v>
      </c>
      <c r="B121" s="1850" t="s">
        <v>16</v>
      </c>
      <c r="C121" s="1850" t="s">
        <v>2375</v>
      </c>
      <c r="D121" s="1850" t="s">
        <v>2376</v>
      </c>
      <c r="E121" s="1850" t="s">
        <v>2377</v>
      </c>
      <c r="F121" s="1850" t="s">
        <v>2378</v>
      </c>
      <c r="G121" s="1850" t="s">
        <v>2379</v>
      </c>
      <c r="H121" s="1850" t="s">
        <v>22</v>
      </c>
      <c r="I121" s="1850" t="s">
        <v>896</v>
      </c>
    </row>
    <row r="122" ht="11.25" customHeight="1">
      <c r="A122" s="1850" t="s">
        <v>2248</v>
      </c>
      <c r="B122" s="1850" t="s">
        <v>16</v>
      </c>
      <c r="C122" s="1850" t="s">
        <v>2380</v>
      </c>
      <c r="D122" s="1850" t="s">
        <v>2381</v>
      </c>
      <c r="E122" s="1850" t="s">
        <v>2382</v>
      </c>
      <c r="F122" s="1850" t="s">
        <v>2383</v>
      </c>
      <c r="G122" s="1850" t="s">
        <v>2384</v>
      </c>
      <c r="H122" s="1850" t="s">
        <v>22</v>
      </c>
      <c r="I122" s="1850" t="s">
        <v>896</v>
      </c>
    </row>
    <row r="123" ht="11.25" customHeight="1">
      <c r="A123" s="1850" t="s">
        <v>2248</v>
      </c>
      <c r="B123" s="1850" t="s">
        <v>16</v>
      </c>
      <c r="C123" s="1850" t="s">
        <v>2385</v>
      </c>
      <c r="D123" s="1850" t="s">
        <v>2386</v>
      </c>
      <c r="E123" s="1850" t="s">
        <v>2387</v>
      </c>
      <c r="F123" s="1850" t="s">
        <v>2388</v>
      </c>
      <c r="G123" s="1850" t="s">
        <v>2389</v>
      </c>
      <c r="H123" s="1850" t="s">
        <v>22</v>
      </c>
      <c r="I123" s="1850" t="s">
        <v>896</v>
      </c>
    </row>
    <row r="124" ht="11.25" customHeight="1">
      <c r="A124" s="1850" t="s">
        <v>2248</v>
      </c>
      <c r="B124" s="1850" t="s">
        <v>16</v>
      </c>
      <c r="C124" s="1850" t="s">
        <v>2390</v>
      </c>
      <c r="D124" s="1850" t="s">
        <v>2391</v>
      </c>
      <c r="E124" s="1850" t="s">
        <v>2392</v>
      </c>
      <c r="F124" s="1850" t="s">
        <v>2393</v>
      </c>
      <c r="G124" s="1850" t="s">
        <v>22</v>
      </c>
      <c r="H124" s="1850" t="s">
        <v>22</v>
      </c>
      <c r="I124" s="1850" t="s">
        <v>896</v>
      </c>
    </row>
    <row r="125" ht="11.25" customHeight="1">
      <c r="A125" s="1850" t="s">
        <v>2248</v>
      </c>
      <c r="B125" s="1850" t="s">
        <v>16</v>
      </c>
      <c r="C125" s="1850" t="s">
        <v>2398</v>
      </c>
      <c r="D125" s="1850" t="s">
        <v>2399</v>
      </c>
      <c r="E125" s="1850" t="s">
        <v>2400</v>
      </c>
      <c r="F125" s="1850" t="s">
        <v>2359</v>
      </c>
      <c r="G125" s="1850" t="s">
        <v>22</v>
      </c>
      <c r="H125" s="1850" t="s">
        <v>22</v>
      </c>
      <c r="I125" s="1850" t="s">
        <v>896</v>
      </c>
    </row>
    <row r="126" ht="11.25" customHeight="1">
      <c r="A126" s="1850" t="s">
        <v>2248</v>
      </c>
      <c r="B126" s="1850" t="s">
        <v>16</v>
      </c>
      <c r="C126" s="1850" t="s">
        <v>2401</v>
      </c>
      <c r="D126" s="1850" t="s">
        <v>2402</v>
      </c>
      <c r="E126" s="1850" t="s">
        <v>2403</v>
      </c>
      <c r="F126" s="1850" t="s">
        <v>2404</v>
      </c>
      <c r="G126" s="1850" t="s">
        <v>2331</v>
      </c>
      <c r="H126" s="1850" t="s">
        <v>22</v>
      </c>
      <c r="I126" s="1850" t="s">
        <v>896</v>
      </c>
    </row>
    <row r="127" ht="11.25" customHeight="1">
      <c r="A127" s="1850" t="s">
        <v>2248</v>
      </c>
      <c r="B127" s="1850" t="s">
        <v>16</v>
      </c>
      <c r="C127" s="1850" t="s">
        <v>2410</v>
      </c>
      <c r="D127" s="1850" t="s">
        <v>2411</v>
      </c>
      <c r="E127" s="1850" t="s">
        <v>2412</v>
      </c>
      <c r="F127" s="1850" t="s">
        <v>2413</v>
      </c>
      <c r="G127" s="1850" t="s">
        <v>22</v>
      </c>
      <c r="H127" s="1850" t="s">
        <v>22</v>
      </c>
      <c r="I127" s="1850" t="s">
        <v>896</v>
      </c>
    </row>
    <row r="128" ht="11.25" customHeight="1">
      <c r="A128" s="1850" t="s">
        <v>2248</v>
      </c>
      <c r="B128" s="1850" t="s">
        <v>16</v>
      </c>
      <c r="C128" s="1850" t="s">
        <v>2414</v>
      </c>
      <c r="D128" s="1850" t="s">
        <v>2415</v>
      </c>
      <c r="E128" s="1850" t="s">
        <v>2416</v>
      </c>
      <c r="F128" s="1850" t="s">
        <v>2383</v>
      </c>
      <c r="G128" s="1850" t="s">
        <v>22</v>
      </c>
      <c r="H128" s="1850" t="s">
        <v>22</v>
      </c>
      <c r="I128" s="1850" t="s">
        <v>896</v>
      </c>
    </row>
    <row r="129" ht="11.25" customHeight="1">
      <c r="A129" s="1850" t="s">
        <v>2248</v>
      </c>
      <c r="B129" s="1850" t="s">
        <v>16</v>
      </c>
      <c r="C129" s="1850" t="s">
        <v>2417</v>
      </c>
      <c r="D129" s="1850" t="s">
        <v>2418</v>
      </c>
      <c r="E129" s="1850" t="s">
        <v>2419</v>
      </c>
      <c r="F129" s="1850" t="s">
        <v>2252</v>
      </c>
      <c r="G129" s="1850" t="s">
        <v>22</v>
      </c>
      <c r="H129" s="1850" t="s">
        <v>22</v>
      </c>
      <c r="I129" s="1850" t="s">
        <v>896</v>
      </c>
    </row>
    <row r="130" ht="11.25" customHeight="1">
      <c r="A130" s="1850" t="s">
        <v>2248</v>
      </c>
      <c r="B130" s="1850" t="s">
        <v>16</v>
      </c>
      <c r="C130" s="1850" t="s">
        <v>2420</v>
      </c>
      <c r="D130" s="1850" t="s">
        <v>2421</v>
      </c>
      <c r="E130" s="1850" t="s">
        <v>2422</v>
      </c>
      <c r="F130" s="1850" t="s">
        <v>2289</v>
      </c>
      <c r="G130" s="1850" t="s">
        <v>22</v>
      </c>
      <c r="H130" s="1850" t="s">
        <v>22</v>
      </c>
      <c r="I130" s="1850" t="s">
        <v>896</v>
      </c>
    </row>
    <row r="131" ht="11.25" customHeight="1">
      <c r="A131" s="1850" t="s">
        <v>2248</v>
      </c>
      <c r="B131" s="1850" t="s">
        <v>16</v>
      </c>
      <c r="C131" s="1850" t="s">
        <v>2423</v>
      </c>
      <c r="D131" s="1850" t="s">
        <v>2424</v>
      </c>
      <c r="E131" s="1850" t="s">
        <v>2425</v>
      </c>
      <c r="F131" s="1850" t="s">
        <v>2426</v>
      </c>
      <c r="G131" s="1850" t="s">
        <v>22</v>
      </c>
      <c r="H131" s="1850" t="s">
        <v>22</v>
      </c>
      <c r="I131" s="1850" t="s">
        <v>896</v>
      </c>
    </row>
    <row r="132" ht="11.25" customHeight="1">
      <c r="A132" s="1850" t="s">
        <v>2248</v>
      </c>
      <c r="B132" s="1850" t="s">
        <v>16</v>
      </c>
      <c r="C132" s="1850" t="s">
        <v>2433</v>
      </c>
      <c r="D132" s="1850" t="s">
        <v>2434</v>
      </c>
      <c r="E132" s="1850" t="s">
        <v>2435</v>
      </c>
      <c r="F132" s="1850" t="s">
        <v>2359</v>
      </c>
      <c r="G132" s="1850" t="s">
        <v>22</v>
      </c>
      <c r="H132" s="1850" t="s">
        <v>22</v>
      </c>
      <c r="I132" s="1850" t="s">
        <v>896</v>
      </c>
    </row>
    <row r="133" ht="11.25" customHeight="1">
      <c r="A133" s="1850" t="s">
        <v>2248</v>
      </c>
      <c r="B133" s="1850" t="s">
        <v>16</v>
      </c>
      <c r="C133" s="1850" t="s">
        <v>2454</v>
      </c>
      <c r="D133" s="1850" t="s">
        <v>2455</v>
      </c>
      <c r="E133" s="1850" t="s">
        <v>2456</v>
      </c>
      <c r="F133" s="1850" t="s">
        <v>2312</v>
      </c>
      <c r="G133" s="1850" t="s">
        <v>22</v>
      </c>
      <c r="H133" s="1850" t="s">
        <v>22</v>
      </c>
      <c r="I133" s="1850" t="s">
        <v>896</v>
      </c>
    </row>
    <row r="134" ht="11.25" customHeight="1">
      <c r="A134" s="1850" t="s">
        <v>2248</v>
      </c>
      <c r="B134" s="1850" t="s">
        <v>16</v>
      </c>
      <c r="C134" s="1850" t="s">
        <v>2457</v>
      </c>
      <c r="D134" s="1850" t="s">
        <v>2458</v>
      </c>
      <c r="E134" s="1850" t="s">
        <v>2459</v>
      </c>
      <c r="F134" s="1850" t="s">
        <v>2373</v>
      </c>
      <c r="G134" s="1850" t="s">
        <v>22</v>
      </c>
      <c r="H134" s="1850" t="s">
        <v>22</v>
      </c>
      <c r="I134" s="1850" t="s">
        <v>896</v>
      </c>
    </row>
    <row r="135" ht="11.25" customHeight="1">
      <c r="A135" s="1850" t="s">
        <v>2248</v>
      </c>
      <c r="B135" s="1850" t="s">
        <v>16</v>
      </c>
      <c r="C135" s="1850" t="s">
        <v>2463</v>
      </c>
      <c r="D135" s="1850" t="s">
        <v>2464</v>
      </c>
      <c r="E135" s="1850" t="s">
        <v>2465</v>
      </c>
      <c r="F135" s="1850" t="s">
        <v>2289</v>
      </c>
      <c r="G135" s="1850" t="s">
        <v>22</v>
      </c>
      <c r="H135" s="1850" t="s">
        <v>22</v>
      </c>
      <c r="I135" s="1850" t="s">
        <v>896</v>
      </c>
    </row>
    <row r="136" ht="11.25" customHeight="1">
      <c r="A136" s="1850" t="s">
        <v>2248</v>
      </c>
      <c r="B136" s="1850" t="s">
        <v>16</v>
      </c>
      <c r="C136" s="1850" t="s">
        <v>2469</v>
      </c>
      <c r="D136" s="1850" t="s">
        <v>2470</v>
      </c>
      <c r="E136" s="1850" t="s">
        <v>2471</v>
      </c>
      <c r="F136" s="1850" t="s">
        <v>2321</v>
      </c>
      <c r="G136" s="1850" t="s">
        <v>2472</v>
      </c>
      <c r="H136" s="1850" t="s">
        <v>22</v>
      </c>
      <c r="I136" s="1850" t="s">
        <v>896</v>
      </c>
    </row>
    <row r="137" ht="11.25" customHeight="1">
      <c r="A137" s="1850" t="s">
        <v>2248</v>
      </c>
      <c r="B137" s="1850" t="s">
        <v>16</v>
      </c>
      <c r="C137" s="1850" t="s">
        <v>2473</v>
      </c>
      <c r="D137" s="1850" t="s">
        <v>2474</v>
      </c>
      <c r="E137" s="1850" t="s">
        <v>2475</v>
      </c>
      <c r="F137" s="1850" t="s">
        <v>2373</v>
      </c>
      <c r="G137" s="1850" t="s">
        <v>2476</v>
      </c>
      <c r="H137" s="1850" t="s">
        <v>22</v>
      </c>
      <c r="I137" s="1850" t="s">
        <v>896</v>
      </c>
    </row>
    <row r="138" ht="11.25" customHeight="1">
      <c r="A138" s="1850" t="s">
        <v>2248</v>
      </c>
      <c r="B138" s="1850" t="s">
        <v>16</v>
      </c>
      <c r="C138" s="1850" t="s">
        <v>2477</v>
      </c>
      <c r="D138" s="1850" t="s">
        <v>2478</v>
      </c>
      <c r="E138" s="1850" t="s">
        <v>2479</v>
      </c>
      <c r="F138" s="1850" t="s">
        <v>2480</v>
      </c>
      <c r="G138" s="1850" t="s">
        <v>2481</v>
      </c>
      <c r="H138" s="1850" t="s">
        <v>22</v>
      </c>
      <c r="I138" s="1850" t="s">
        <v>896</v>
      </c>
    </row>
    <row r="139" ht="11.25" customHeight="1">
      <c r="A139" s="1850" t="s">
        <v>2248</v>
      </c>
      <c r="B139" s="1850" t="s">
        <v>16</v>
      </c>
      <c r="C139" s="1850" t="s">
        <v>2490</v>
      </c>
      <c r="D139" s="1850" t="s">
        <v>2491</v>
      </c>
      <c r="E139" s="1850" t="s">
        <v>2492</v>
      </c>
      <c r="F139" s="1850" t="s">
        <v>2268</v>
      </c>
      <c r="G139" s="1850" t="s">
        <v>22</v>
      </c>
      <c r="H139" s="1850" t="s">
        <v>22</v>
      </c>
      <c r="I139" s="1850" t="s">
        <v>896</v>
      </c>
    </row>
    <row r="140" ht="11.25" customHeight="1">
      <c r="A140" s="1850" t="s">
        <v>2248</v>
      </c>
      <c r="B140" s="1850" t="s">
        <v>16</v>
      </c>
      <c r="C140" s="1850" t="s">
        <v>2503</v>
      </c>
      <c r="D140" s="1850" t="s">
        <v>2504</v>
      </c>
      <c r="E140" s="1850" t="s">
        <v>2505</v>
      </c>
      <c r="F140" s="1850" t="s">
        <v>2264</v>
      </c>
      <c r="G140" s="1850" t="s">
        <v>22</v>
      </c>
      <c r="H140" s="1850" t="s">
        <v>22</v>
      </c>
      <c r="I140" s="1850" t="s">
        <v>896</v>
      </c>
    </row>
    <row r="141" ht="11.25" customHeight="1">
      <c r="A141" s="1850" t="s">
        <v>2248</v>
      </c>
      <c r="B141" s="1850" t="s">
        <v>16</v>
      </c>
      <c r="C141" s="1850" t="s">
        <v>2509</v>
      </c>
      <c r="D141" s="1850" t="s">
        <v>2510</v>
      </c>
      <c r="E141" s="1850" t="s">
        <v>2511</v>
      </c>
      <c r="F141" s="1850" t="s">
        <v>2264</v>
      </c>
      <c r="G141" s="1850" t="s">
        <v>2512</v>
      </c>
      <c r="H141" s="1850" t="s">
        <v>22</v>
      </c>
      <c r="I141" s="1850" t="s">
        <v>896</v>
      </c>
    </row>
    <row r="142" ht="11.25" customHeight="1">
      <c r="A142" s="1850" t="s">
        <v>2248</v>
      </c>
      <c r="B142" s="1850" t="s">
        <v>16</v>
      </c>
      <c r="C142" s="1850" t="s">
        <v>2513</v>
      </c>
      <c r="D142" s="1850" t="s">
        <v>2514</v>
      </c>
      <c r="E142" s="1850" t="s">
        <v>2515</v>
      </c>
      <c r="F142" s="1850" t="s">
        <v>2373</v>
      </c>
      <c r="G142" s="1850" t="s">
        <v>22</v>
      </c>
      <c r="H142" s="1850" t="s">
        <v>22</v>
      </c>
      <c r="I142" s="1850" t="s">
        <v>896</v>
      </c>
    </row>
    <row r="143" ht="11.25" customHeight="1">
      <c r="A143" s="1850" t="s">
        <v>2248</v>
      </c>
      <c r="B143" s="1850" t="s">
        <v>16</v>
      </c>
      <c r="C143" s="1850" t="s">
        <v>2516</v>
      </c>
      <c r="D143" s="1850" t="s">
        <v>2517</v>
      </c>
      <c r="E143" s="1850" t="s">
        <v>2518</v>
      </c>
      <c r="F143" s="1850" t="s">
        <v>2393</v>
      </c>
      <c r="G143" s="1850" t="s">
        <v>22</v>
      </c>
      <c r="H143" s="1850" t="s">
        <v>22</v>
      </c>
      <c r="I143" s="1850" t="s">
        <v>896</v>
      </c>
    </row>
    <row r="144" ht="11.25" customHeight="1">
      <c r="A144" s="1850" t="s">
        <v>2248</v>
      </c>
      <c r="B144" s="1850" t="s">
        <v>16</v>
      </c>
      <c r="C144" s="1850" t="s">
        <v>2519</v>
      </c>
      <c r="D144" s="1850" t="s">
        <v>2520</v>
      </c>
      <c r="E144" s="1850" t="s">
        <v>2521</v>
      </c>
      <c r="F144" s="1850" t="s">
        <v>2289</v>
      </c>
      <c r="G144" s="1850" t="s">
        <v>2522</v>
      </c>
      <c r="H144" s="1850" t="s">
        <v>22</v>
      </c>
      <c r="I144" s="1850" t="s">
        <v>896</v>
      </c>
    </row>
    <row r="145" ht="11.25" customHeight="1">
      <c r="A145" s="1850" t="s">
        <v>2248</v>
      </c>
      <c r="B145" s="1850" t="s">
        <v>16</v>
      </c>
      <c r="C145" s="1850" t="s">
        <v>2526</v>
      </c>
      <c r="D145" s="1850" t="s">
        <v>2527</v>
      </c>
      <c r="E145" s="1850" t="s">
        <v>2528</v>
      </c>
      <c r="F145" s="1850" t="s">
        <v>2252</v>
      </c>
      <c r="G145" s="1850" t="s">
        <v>22</v>
      </c>
      <c r="H145" s="1850" t="s">
        <v>22</v>
      </c>
      <c r="I145" s="1850" t="s">
        <v>896</v>
      </c>
    </row>
    <row r="146" ht="11.25" customHeight="1">
      <c r="A146" s="1850" t="s">
        <v>2248</v>
      </c>
      <c r="B146" s="1850" t="s">
        <v>16</v>
      </c>
      <c r="C146" s="1850" t="s">
        <v>2529</v>
      </c>
      <c r="D146" s="1850" t="s">
        <v>2530</v>
      </c>
      <c r="E146" s="1850" t="s">
        <v>2531</v>
      </c>
      <c r="F146" s="1850" t="s">
        <v>2383</v>
      </c>
      <c r="G146" s="1850" t="s">
        <v>22</v>
      </c>
      <c r="H146" s="1850" t="s">
        <v>22</v>
      </c>
      <c r="I146" s="1850" t="s">
        <v>896</v>
      </c>
    </row>
    <row r="147" ht="11.25" customHeight="1">
      <c r="A147" s="1850" t="s">
        <v>2248</v>
      </c>
      <c r="B147" s="1850" t="s">
        <v>16</v>
      </c>
      <c r="C147" s="1850" t="s">
        <v>2532</v>
      </c>
      <c r="D147" s="1850" t="s">
        <v>2533</v>
      </c>
      <c r="E147" s="1850" t="s">
        <v>2534</v>
      </c>
      <c r="F147" s="1850" t="s">
        <v>2349</v>
      </c>
      <c r="G147" s="1850" t="s">
        <v>22</v>
      </c>
      <c r="H147" s="1850" t="s">
        <v>22</v>
      </c>
      <c r="I147" s="1850" t="s">
        <v>896</v>
      </c>
    </row>
    <row r="148" ht="11.25" customHeight="1">
      <c r="A148" s="1850" t="s">
        <v>2248</v>
      </c>
      <c r="B148" s="1850" t="s">
        <v>16</v>
      </c>
      <c r="C148" s="1850" t="s">
        <v>2535</v>
      </c>
      <c r="D148" s="1850" t="s">
        <v>2536</v>
      </c>
      <c r="E148" s="1850" t="s">
        <v>2537</v>
      </c>
      <c r="F148" s="1850" t="s">
        <v>2388</v>
      </c>
      <c r="G148" s="1850" t="s">
        <v>2538</v>
      </c>
      <c r="H148" s="1850" t="s">
        <v>22</v>
      </c>
      <c r="I148" s="1850" t="s">
        <v>896</v>
      </c>
    </row>
    <row r="149" ht="11.25" customHeight="1">
      <c r="A149" s="1850" t="s">
        <v>2248</v>
      </c>
      <c r="B149" s="1850" t="s">
        <v>16</v>
      </c>
      <c r="C149" s="1850" t="s">
        <v>2565</v>
      </c>
      <c r="D149" s="1850" t="s">
        <v>2566</v>
      </c>
      <c r="E149" s="1850" t="s">
        <v>2567</v>
      </c>
      <c r="F149" s="1850" t="s">
        <v>2264</v>
      </c>
      <c r="G149" s="1850" t="s">
        <v>22</v>
      </c>
      <c r="H149" s="1850" t="s">
        <v>22</v>
      </c>
      <c r="I149" s="1850" t="s">
        <v>896</v>
      </c>
    </row>
    <row r="150" ht="11.25" customHeight="1">
      <c r="A150" s="1850" t="s">
        <v>2248</v>
      </c>
      <c r="B150" s="1850" t="s">
        <v>16</v>
      </c>
      <c r="C150" s="1850" t="s">
        <v>2568</v>
      </c>
      <c r="D150" s="1850" t="s">
        <v>2569</v>
      </c>
      <c r="E150" s="1850" t="s">
        <v>2570</v>
      </c>
      <c r="F150" s="1850" t="s">
        <v>2571</v>
      </c>
      <c r="G150" s="1850" t="s">
        <v>22</v>
      </c>
      <c r="H150" s="1850" t="s">
        <v>22</v>
      </c>
      <c r="I150" s="1850" t="s">
        <v>896</v>
      </c>
    </row>
    <row r="151" ht="11.25" customHeight="1">
      <c r="A151" s="1850" t="s">
        <v>2248</v>
      </c>
      <c r="B151" s="1850" t="s">
        <v>16</v>
      </c>
      <c r="C151" s="1850" t="s">
        <v>2587</v>
      </c>
      <c r="D151" s="1850" t="s">
        <v>2588</v>
      </c>
      <c r="E151" s="1850" t="s">
        <v>2589</v>
      </c>
      <c r="F151" s="1850" t="s">
        <v>2590</v>
      </c>
      <c r="G151" s="1850" t="s">
        <v>22</v>
      </c>
      <c r="H151" s="1850" t="s">
        <v>22</v>
      </c>
      <c r="I151" s="1850" t="s">
        <v>896</v>
      </c>
    </row>
    <row r="152" ht="11.25" customHeight="1">
      <c r="A152" s="1850" t="s">
        <v>2248</v>
      </c>
      <c r="B152" s="1850" t="s">
        <v>16</v>
      </c>
      <c r="C152" s="1850" t="s">
        <v>2594</v>
      </c>
      <c r="D152" s="1850" t="s">
        <v>2595</v>
      </c>
      <c r="E152" s="1850" t="s">
        <v>2596</v>
      </c>
      <c r="F152" s="1850" t="s">
        <v>2359</v>
      </c>
      <c r="G152" s="1850" t="s">
        <v>22</v>
      </c>
      <c r="H152" s="1850" t="s">
        <v>22</v>
      </c>
      <c r="I152" s="1850" t="s">
        <v>896</v>
      </c>
    </row>
    <row r="153" ht="11.25" customHeight="1">
      <c r="A153" s="1850" t="s">
        <v>2248</v>
      </c>
      <c r="B153" s="1850" t="s">
        <v>16</v>
      </c>
      <c r="C153" s="1850" t="s">
        <v>2605</v>
      </c>
      <c r="D153" s="1850" t="s">
        <v>2606</v>
      </c>
      <c r="E153" s="1850" t="s">
        <v>2607</v>
      </c>
      <c r="F153" s="1850" t="s">
        <v>2608</v>
      </c>
      <c r="G153" s="1850" t="s">
        <v>2609</v>
      </c>
      <c r="H153" s="1850" t="s">
        <v>22</v>
      </c>
      <c r="I153" s="1850" t="s">
        <v>896</v>
      </c>
    </row>
    <row r="154" ht="11.25" customHeight="1">
      <c r="A154" s="1850" t="s">
        <v>2248</v>
      </c>
      <c r="B154" s="1850" t="s">
        <v>16</v>
      </c>
      <c r="C154" s="1850" t="s">
        <v>2613</v>
      </c>
      <c r="D154" s="1850" t="s">
        <v>2614</v>
      </c>
      <c r="E154" s="1850" t="s">
        <v>2589</v>
      </c>
      <c r="F154" s="1850" t="s">
        <v>2615</v>
      </c>
      <c r="G154" s="1850" t="s">
        <v>22</v>
      </c>
      <c r="H154" s="1850" t="s">
        <v>22</v>
      </c>
      <c r="I154" s="1850" t="s">
        <v>896</v>
      </c>
    </row>
    <row r="155" ht="11.25" customHeight="1">
      <c r="A155" s="1850" t="s">
        <v>2248</v>
      </c>
      <c r="B155" s="1850" t="s">
        <v>16</v>
      </c>
      <c r="C155" s="1850" t="s">
        <v>2616</v>
      </c>
      <c r="D155" s="1850" t="s">
        <v>2617</v>
      </c>
      <c r="E155" s="1850" t="s">
        <v>2618</v>
      </c>
      <c r="F155" s="1850" t="s">
        <v>2619</v>
      </c>
      <c r="G155" s="1850" t="s">
        <v>2620</v>
      </c>
      <c r="H155" s="1850" t="s">
        <v>22</v>
      </c>
      <c r="I155" s="1850" t="s">
        <v>896</v>
      </c>
    </row>
    <row r="156" ht="11.25" customHeight="1">
      <c r="A156" s="1850" t="s">
        <v>2248</v>
      </c>
      <c r="B156" s="1850" t="s">
        <v>16</v>
      </c>
      <c r="C156" s="1850" t="s">
        <v>2621</v>
      </c>
      <c r="D156" s="1850" t="s">
        <v>2622</v>
      </c>
      <c r="E156" s="1850" t="s">
        <v>2623</v>
      </c>
      <c r="F156" s="1850" t="s">
        <v>2312</v>
      </c>
      <c r="G156" s="1850" t="s">
        <v>2624</v>
      </c>
      <c r="H156" s="1850" t="s">
        <v>22</v>
      </c>
      <c r="I156" s="1850" t="s">
        <v>896</v>
      </c>
    </row>
    <row r="157" ht="11.25" customHeight="1">
      <c r="A157" s="1850" t="s">
        <v>2248</v>
      </c>
      <c r="B157" s="1850" t="s">
        <v>16</v>
      </c>
      <c r="C157" s="1850" t="s">
        <v>2625</v>
      </c>
      <c r="D157" s="1850" t="s">
        <v>2626</v>
      </c>
      <c r="E157" s="1850" t="s">
        <v>2627</v>
      </c>
      <c r="F157" s="1850" t="s">
        <v>2628</v>
      </c>
      <c r="G157" s="1850" t="s">
        <v>22</v>
      </c>
      <c r="H157" s="1850" t="s">
        <v>22</v>
      </c>
      <c r="I157" s="1850" t="s">
        <v>896</v>
      </c>
    </row>
    <row r="158" ht="11.25" customHeight="1">
      <c r="A158" s="1850" t="s">
        <v>2248</v>
      </c>
      <c r="B158" s="1850" t="s">
        <v>16</v>
      </c>
      <c r="C158" s="1850" t="s">
        <v>13</v>
      </c>
      <c r="D158" s="1850" t="s">
        <v>46</v>
      </c>
      <c r="E158" s="1850" t="s">
        <v>49</v>
      </c>
      <c r="F158" s="1850" t="s">
        <v>51</v>
      </c>
      <c r="G158" s="1850" t="s">
        <v>2629</v>
      </c>
      <c r="H158" s="1850" t="s">
        <v>22</v>
      </c>
      <c r="I158" s="1850" t="s">
        <v>896</v>
      </c>
    </row>
    <row r="159" ht="11.25" customHeight="1">
      <c r="A159" s="1850" t="s">
        <v>2248</v>
      </c>
      <c r="B159" s="1850" t="s">
        <v>16</v>
      </c>
      <c r="C159" s="1850" t="s">
        <v>2249</v>
      </c>
      <c r="D159" s="1850" t="s">
        <v>2250</v>
      </c>
      <c r="E159" s="1850" t="s">
        <v>2251</v>
      </c>
      <c r="F159" s="1850" t="s">
        <v>2252</v>
      </c>
      <c r="G159" s="1850" t="s">
        <v>22</v>
      </c>
      <c r="H159" s="1850" t="s">
        <v>22</v>
      </c>
      <c r="I159" s="1850" t="s">
        <v>856</v>
      </c>
    </row>
    <row r="160" ht="11.25" customHeight="1">
      <c r="A160" s="1850" t="s">
        <v>2248</v>
      </c>
      <c r="B160" s="1850" t="s">
        <v>16</v>
      </c>
      <c r="C160" s="1850" t="s">
        <v>2257</v>
      </c>
      <c r="D160" s="1850" t="s">
        <v>2258</v>
      </c>
      <c r="E160" s="1850" t="s">
        <v>2259</v>
      </c>
      <c r="F160" s="1850" t="s">
        <v>2260</v>
      </c>
      <c r="G160" s="1850" t="s">
        <v>22</v>
      </c>
      <c r="H160" s="1850" t="s">
        <v>22</v>
      </c>
      <c r="I160" s="1850" t="s">
        <v>856</v>
      </c>
    </row>
    <row r="161" ht="11.25" customHeight="1">
      <c r="A161" s="1850" t="s">
        <v>2248</v>
      </c>
      <c r="B161" s="1850" t="s">
        <v>16</v>
      </c>
      <c r="C161" s="1850" t="s">
        <v>2634</v>
      </c>
      <c r="D161" s="1850" t="s">
        <v>2635</v>
      </c>
      <c r="E161" s="1850" t="s">
        <v>2636</v>
      </c>
      <c r="F161" s="1850" t="s">
        <v>2637</v>
      </c>
      <c r="G161" s="1850" t="s">
        <v>2638</v>
      </c>
      <c r="H161" s="1850" t="s">
        <v>22</v>
      </c>
      <c r="I161" s="1850" t="s">
        <v>856</v>
      </c>
    </row>
    <row r="162" ht="11.25" customHeight="1">
      <c r="A162" s="1850" t="s">
        <v>2248</v>
      </c>
      <c r="B162" s="1850" t="s">
        <v>16</v>
      </c>
      <c r="C162" s="1850" t="s">
        <v>2639</v>
      </c>
      <c r="D162" s="1850" t="s">
        <v>2640</v>
      </c>
      <c r="E162" s="1850" t="s">
        <v>2641</v>
      </c>
      <c r="F162" s="1850" t="s">
        <v>2289</v>
      </c>
      <c r="G162" s="1850" t="s">
        <v>2642</v>
      </c>
      <c r="H162" s="1850" t="s">
        <v>22</v>
      </c>
      <c r="I162" s="1850" t="s">
        <v>856</v>
      </c>
    </row>
    <row r="163" ht="11.25" customHeight="1">
      <c r="A163" s="1850" t="s">
        <v>2248</v>
      </c>
      <c r="B163" s="1850" t="s">
        <v>16</v>
      </c>
      <c r="C163" s="1850" t="s">
        <v>2270</v>
      </c>
      <c r="D163" s="1850" t="s">
        <v>2271</v>
      </c>
      <c r="E163" s="1850" t="s">
        <v>2272</v>
      </c>
      <c r="F163" s="1850" t="s">
        <v>2264</v>
      </c>
      <c r="G163" s="1850" t="s">
        <v>22</v>
      </c>
      <c r="H163" s="1850" t="s">
        <v>22</v>
      </c>
      <c r="I163" s="1850" t="s">
        <v>856</v>
      </c>
    </row>
    <row r="164" ht="11.25" customHeight="1">
      <c r="A164" s="1850" t="s">
        <v>2248</v>
      </c>
      <c r="B164" s="1850" t="s">
        <v>16</v>
      </c>
      <c r="C164" s="1850" t="s">
        <v>2643</v>
      </c>
      <c r="D164" s="1850" t="s">
        <v>2644</v>
      </c>
      <c r="E164" s="1850" t="s">
        <v>2645</v>
      </c>
      <c r="F164" s="1850" t="s">
        <v>2397</v>
      </c>
      <c r="G164" s="1850" t="s">
        <v>22</v>
      </c>
      <c r="H164" s="1850" t="s">
        <v>22</v>
      </c>
      <c r="I164" s="1850" t="s">
        <v>856</v>
      </c>
    </row>
    <row r="165" ht="11.25" customHeight="1">
      <c r="A165" s="1850" t="s">
        <v>2248</v>
      </c>
      <c r="B165" s="1850" t="s">
        <v>16</v>
      </c>
      <c r="C165" s="1850" t="s">
        <v>2646</v>
      </c>
      <c r="D165" s="1850" t="s">
        <v>2647</v>
      </c>
      <c r="E165" s="1850" t="s">
        <v>2648</v>
      </c>
      <c r="F165" s="1850" t="s">
        <v>2268</v>
      </c>
      <c r="G165" s="1850" t="s">
        <v>22</v>
      </c>
      <c r="H165" s="1850" t="s">
        <v>22</v>
      </c>
      <c r="I165" s="1850" t="s">
        <v>856</v>
      </c>
    </row>
    <row r="166" ht="11.25" customHeight="1">
      <c r="A166" s="1850" t="s">
        <v>2248</v>
      </c>
      <c r="B166" s="1850" t="s">
        <v>16</v>
      </c>
      <c r="C166" s="1850" t="s">
        <v>22</v>
      </c>
      <c r="D166" s="1850" t="s">
        <v>2297</v>
      </c>
      <c r="E166" s="1850" t="s">
        <v>2298</v>
      </c>
      <c r="F166" s="1850" t="s">
        <v>2264</v>
      </c>
      <c r="G166" s="1850" t="s">
        <v>22</v>
      </c>
      <c r="H166" s="1850" t="s">
        <v>22</v>
      </c>
      <c r="I166" s="1850" t="s">
        <v>856</v>
      </c>
    </row>
    <row r="167" ht="11.25" customHeight="1">
      <c r="A167" s="1850" t="s">
        <v>2248</v>
      </c>
      <c r="B167" s="1850" t="s">
        <v>16</v>
      </c>
      <c r="C167" s="1850" t="s">
        <v>2299</v>
      </c>
      <c r="D167" s="1850" t="s">
        <v>2300</v>
      </c>
      <c r="E167" s="1850" t="s">
        <v>2301</v>
      </c>
      <c r="F167" s="1850" t="s">
        <v>2302</v>
      </c>
      <c r="G167" s="1850" t="s">
        <v>22</v>
      </c>
      <c r="H167" s="1850" t="s">
        <v>22</v>
      </c>
      <c r="I167" s="1850" t="s">
        <v>856</v>
      </c>
    </row>
    <row r="168" ht="11.25" customHeight="1">
      <c r="A168" s="1850" t="s">
        <v>2248</v>
      </c>
      <c r="B168" s="1850" t="s">
        <v>16</v>
      </c>
      <c r="C168" s="1850" t="s">
        <v>2649</v>
      </c>
      <c r="D168" s="1850" t="s">
        <v>2650</v>
      </c>
      <c r="E168" s="1850" t="s">
        <v>2425</v>
      </c>
      <c r="F168" s="1850" t="s">
        <v>2651</v>
      </c>
      <c r="G168" s="1850" t="s">
        <v>22</v>
      </c>
      <c r="H168" s="1850" t="s">
        <v>22</v>
      </c>
      <c r="I168" s="1850" t="s">
        <v>856</v>
      </c>
    </row>
    <row r="169" ht="11.25" customHeight="1">
      <c r="A169" s="1850" t="s">
        <v>2248</v>
      </c>
      <c r="B169" s="1850" t="s">
        <v>16</v>
      </c>
      <c r="C169" s="1850" t="s">
        <v>2652</v>
      </c>
      <c r="D169" s="1850" t="s">
        <v>2653</v>
      </c>
      <c r="E169" s="1850" t="s">
        <v>2654</v>
      </c>
      <c r="F169" s="1850" t="s">
        <v>2252</v>
      </c>
      <c r="G169" s="1850" t="s">
        <v>22</v>
      </c>
      <c r="H169" s="1850" t="s">
        <v>22</v>
      </c>
      <c r="I169" s="1850" t="s">
        <v>856</v>
      </c>
    </row>
    <row r="170" ht="11.25" customHeight="1">
      <c r="A170" s="1850" t="s">
        <v>2248</v>
      </c>
      <c r="B170" s="1850" t="s">
        <v>16</v>
      </c>
      <c r="C170" s="1850" t="s">
        <v>2655</v>
      </c>
      <c r="D170" s="1850" t="s">
        <v>2656</v>
      </c>
      <c r="E170" s="1850" t="s">
        <v>2657</v>
      </c>
      <c r="F170" s="1850" t="s">
        <v>2252</v>
      </c>
      <c r="G170" s="1850" t="s">
        <v>2658</v>
      </c>
      <c r="H170" s="1850" t="s">
        <v>22</v>
      </c>
      <c r="I170" s="1850" t="s">
        <v>856</v>
      </c>
    </row>
    <row r="171" ht="11.25" customHeight="1">
      <c r="A171" s="1850" t="s">
        <v>2248</v>
      </c>
      <c r="B171" s="1850" t="s">
        <v>16</v>
      </c>
      <c r="C171" s="1850" t="s">
        <v>2659</v>
      </c>
      <c r="D171" s="1850" t="s">
        <v>2660</v>
      </c>
      <c r="E171" s="1850" t="s">
        <v>2661</v>
      </c>
      <c r="F171" s="1850" t="s">
        <v>2264</v>
      </c>
      <c r="G171" s="1850" t="s">
        <v>22</v>
      </c>
      <c r="H171" s="1850" t="s">
        <v>22</v>
      </c>
      <c r="I171" s="1850" t="s">
        <v>856</v>
      </c>
    </row>
    <row r="172" ht="11.25" customHeight="1">
      <c r="A172" s="1850" t="s">
        <v>2248</v>
      </c>
      <c r="B172" s="1850" t="s">
        <v>16</v>
      </c>
      <c r="C172" s="1850" t="s">
        <v>2662</v>
      </c>
      <c r="D172" s="1850" t="s">
        <v>2663</v>
      </c>
      <c r="E172" s="1850" t="s">
        <v>2664</v>
      </c>
      <c r="F172" s="1850" t="s">
        <v>2289</v>
      </c>
      <c r="G172" s="1850" t="s">
        <v>22</v>
      </c>
      <c r="H172" s="1850" t="s">
        <v>2665</v>
      </c>
      <c r="I172" s="1850" t="s">
        <v>856</v>
      </c>
    </row>
    <row r="173" ht="11.25" customHeight="1">
      <c r="A173" s="1850" t="s">
        <v>2248</v>
      </c>
      <c r="B173" s="1850" t="s">
        <v>16</v>
      </c>
      <c r="C173" s="1850" t="s">
        <v>2666</v>
      </c>
      <c r="D173" s="1850" t="s">
        <v>2667</v>
      </c>
      <c r="E173" s="1850" t="s">
        <v>2668</v>
      </c>
      <c r="F173" s="1850" t="s">
        <v>2404</v>
      </c>
      <c r="G173" s="1850" t="s">
        <v>22</v>
      </c>
      <c r="H173" s="1850" t="s">
        <v>22</v>
      </c>
      <c r="I173" s="1850" t="s">
        <v>856</v>
      </c>
    </row>
    <row r="174" ht="11.25" customHeight="1">
      <c r="A174" s="1850" t="s">
        <v>2248</v>
      </c>
      <c r="B174" s="1850" t="s">
        <v>16</v>
      </c>
      <c r="C174" s="1850" t="s">
        <v>2669</v>
      </c>
      <c r="D174" s="1850" t="s">
        <v>2670</v>
      </c>
      <c r="E174" s="1850" t="s">
        <v>2671</v>
      </c>
      <c r="F174" s="1850" t="s">
        <v>2388</v>
      </c>
      <c r="G174" s="1850" t="s">
        <v>22</v>
      </c>
      <c r="H174" s="1850" t="s">
        <v>22</v>
      </c>
      <c r="I174" s="1850" t="s">
        <v>856</v>
      </c>
    </row>
    <row r="175" ht="11.25" customHeight="1">
      <c r="A175" s="1850" t="s">
        <v>2248</v>
      </c>
      <c r="B175" s="1850" t="s">
        <v>16</v>
      </c>
      <c r="C175" s="1850" t="s">
        <v>2672</v>
      </c>
      <c r="D175" s="1850" t="s">
        <v>2673</v>
      </c>
      <c r="E175" s="1850" t="s">
        <v>2674</v>
      </c>
      <c r="F175" s="1850" t="s">
        <v>577</v>
      </c>
      <c r="G175" s="1850" t="s">
        <v>22</v>
      </c>
      <c r="H175" s="1850" t="s">
        <v>22</v>
      </c>
      <c r="I175" s="1850" t="s">
        <v>856</v>
      </c>
    </row>
    <row r="176" ht="11.25" customHeight="1">
      <c r="A176" s="1850" t="s">
        <v>2248</v>
      </c>
      <c r="B176" s="1850" t="s">
        <v>16</v>
      </c>
      <c r="C176" s="1850" t="s">
        <v>2675</v>
      </c>
      <c r="D176" s="1850" t="s">
        <v>2676</v>
      </c>
      <c r="E176" s="1850" t="s">
        <v>2425</v>
      </c>
      <c r="F176" s="1850" t="s">
        <v>2677</v>
      </c>
      <c r="G176" s="1850" t="s">
        <v>22</v>
      </c>
      <c r="H176" s="1850" t="s">
        <v>22</v>
      </c>
      <c r="I176" s="1850" t="s">
        <v>856</v>
      </c>
    </row>
    <row r="177" ht="11.25" customHeight="1">
      <c r="A177" s="1850" t="s">
        <v>2248</v>
      </c>
      <c r="B177" s="1850" t="s">
        <v>16</v>
      </c>
      <c r="C177" s="1850" t="s">
        <v>2309</v>
      </c>
      <c r="D177" s="1850" t="s">
        <v>2310</v>
      </c>
      <c r="E177" s="1850" t="s">
        <v>2311</v>
      </c>
      <c r="F177" s="1850" t="s">
        <v>2312</v>
      </c>
      <c r="G177" s="1850" t="s">
        <v>22</v>
      </c>
      <c r="H177" s="1850" t="s">
        <v>22</v>
      </c>
      <c r="I177" s="1850" t="s">
        <v>856</v>
      </c>
    </row>
    <row r="178" ht="11.25" customHeight="1">
      <c r="A178" s="1850" t="s">
        <v>2248</v>
      </c>
      <c r="B178" s="1850" t="s">
        <v>16</v>
      </c>
      <c r="C178" s="1850" t="s">
        <v>2678</v>
      </c>
      <c r="D178" s="1850" t="s">
        <v>2679</v>
      </c>
      <c r="E178" s="1850" t="s">
        <v>2680</v>
      </c>
      <c r="F178" s="1850" t="s">
        <v>2681</v>
      </c>
      <c r="G178" s="1850" t="s">
        <v>2682</v>
      </c>
      <c r="H178" s="1850" t="s">
        <v>22</v>
      </c>
      <c r="I178" s="1850" t="s">
        <v>856</v>
      </c>
    </row>
    <row r="179" ht="11.25" customHeight="1">
      <c r="A179" s="1850" t="s">
        <v>2248</v>
      </c>
      <c r="B179" s="1850" t="s">
        <v>16</v>
      </c>
      <c r="C179" s="1850" t="s">
        <v>2683</v>
      </c>
      <c r="D179" s="1850" t="s">
        <v>2684</v>
      </c>
      <c r="E179" s="1850" t="s">
        <v>2685</v>
      </c>
      <c r="F179" s="1850" t="s">
        <v>2388</v>
      </c>
      <c r="G179" s="1850" t="s">
        <v>2686</v>
      </c>
      <c r="H179" s="1850" t="s">
        <v>22</v>
      </c>
      <c r="I179" s="1850" t="s">
        <v>856</v>
      </c>
    </row>
    <row r="180" ht="11.25" customHeight="1">
      <c r="A180" s="1850" t="s">
        <v>2248</v>
      </c>
      <c r="B180" s="1850" t="s">
        <v>16</v>
      </c>
      <c r="C180" s="1850" t="s">
        <v>2687</v>
      </c>
      <c r="D180" s="1850" t="s">
        <v>2688</v>
      </c>
      <c r="E180" s="1850" t="s">
        <v>2689</v>
      </c>
      <c r="F180" s="1850" t="s">
        <v>2485</v>
      </c>
      <c r="G180" s="1850" t="s">
        <v>2690</v>
      </c>
      <c r="H180" s="1850" t="s">
        <v>22</v>
      </c>
      <c r="I180" s="1850" t="s">
        <v>856</v>
      </c>
    </row>
    <row r="181" ht="11.25" customHeight="1">
      <c r="A181" s="1850" t="s">
        <v>2248</v>
      </c>
      <c r="B181" s="1850" t="s">
        <v>16</v>
      </c>
      <c r="C181" s="1850" t="s">
        <v>2691</v>
      </c>
      <c r="D181" s="1850" t="s">
        <v>2692</v>
      </c>
      <c r="E181" s="1850" t="s">
        <v>2693</v>
      </c>
      <c r="F181" s="1850" t="s">
        <v>2485</v>
      </c>
      <c r="G181" s="1850" t="s">
        <v>2694</v>
      </c>
      <c r="H181" s="1850" t="s">
        <v>2695</v>
      </c>
      <c r="I181" s="1850" t="s">
        <v>856</v>
      </c>
    </row>
    <row r="182" ht="11.25" customHeight="1">
      <c r="A182" s="1850" t="s">
        <v>2248</v>
      </c>
      <c r="B182" s="1850" t="s">
        <v>16</v>
      </c>
      <c r="C182" s="1850" t="s">
        <v>2313</v>
      </c>
      <c r="D182" s="1850" t="s">
        <v>2314</v>
      </c>
      <c r="E182" s="1850" t="s">
        <v>2315</v>
      </c>
      <c r="F182" s="1850" t="s">
        <v>2316</v>
      </c>
      <c r="G182" s="1850" t="s">
        <v>2317</v>
      </c>
      <c r="H182" s="1850" t="s">
        <v>22</v>
      </c>
      <c r="I182" s="1850" t="s">
        <v>856</v>
      </c>
    </row>
    <row r="183" ht="11.25" customHeight="1">
      <c r="A183" s="1850" t="s">
        <v>2248</v>
      </c>
      <c r="B183" s="1850" t="s">
        <v>16</v>
      </c>
      <c r="C183" s="1850" t="s">
        <v>2696</v>
      </c>
      <c r="D183" s="1850" t="s">
        <v>2697</v>
      </c>
      <c r="E183" s="1850" t="s">
        <v>2698</v>
      </c>
      <c r="F183" s="1850" t="s">
        <v>2699</v>
      </c>
      <c r="G183" s="1850" t="s">
        <v>2700</v>
      </c>
      <c r="H183" s="1850" t="s">
        <v>22</v>
      </c>
      <c r="I183" s="1850" t="s">
        <v>856</v>
      </c>
    </row>
    <row r="184" ht="11.25" customHeight="1">
      <c r="A184" s="1850" t="s">
        <v>2248</v>
      </c>
      <c r="B184" s="1850" t="s">
        <v>16</v>
      </c>
      <c r="C184" s="1850" t="s">
        <v>2701</v>
      </c>
      <c r="D184" s="1850" t="s">
        <v>2702</v>
      </c>
      <c r="E184" s="1850" t="s">
        <v>2703</v>
      </c>
      <c r="F184" s="1850" t="s">
        <v>2542</v>
      </c>
      <c r="G184" s="1850" t="s">
        <v>2704</v>
      </c>
      <c r="H184" s="1850" t="s">
        <v>22</v>
      </c>
      <c r="I184" s="1850" t="s">
        <v>856</v>
      </c>
    </row>
    <row r="185" ht="11.25" customHeight="1">
      <c r="A185" s="1850" t="s">
        <v>2248</v>
      </c>
      <c r="B185" s="1850" t="s">
        <v>16</v>
      </c>
      <c r="C185" s="1850" t="s">
        <v>2705</v>
      </c>
      <c r="D185" s="1850" t="s">
        <v>2706</v>
      </c>
      <c r="E185" s="1850" t="s">
        <v>2707</v>
      </c>
      <c r="F185" s="1850" t="s">
        <v>2708</v>
      </c>
      <c r="G185" s="1850" t="s">
        <v>2709</v>
      </c>
      <c r="H185" s="1850" t="s">
        <v>22</v>
      </c>
      <c r="I185" s="1850" t="s">
        <v>856</v>
      </c>
    </row>
    <row r="186" ht="11.25" customHeight="1">
      <c r="A186" s="1850" t="s">
        <v>2248</v>
      </c>
      <c r="B186" s="1850" t="s">
        <v>16</v>
      </c>
      <c r="C186" s="1850" t="s">
        <v>2318</v>
      </c>
      <c r="D186" s="1850" t="s">
        <v>2319</v>
      </c>
      <c r="E186" s="1850" t="s">
        <v>2320</v>
      </c>
      <c r="F186" s="1850" t="s">
        <v>2321</v>
      </c>
      <c r="G186" s="1850" t="s">
        <v>2322</v>
      </c>
      <c r="H186" s="1850" t="s">
        <v>22</v>
      </c>
      <c r="I186" s="1850" t="s">
        <v>856</v>
      </c>
    </row>
    <row r="187" ht="11.25" customHeight="1">
      <c r="A187" s="1850" t="s">
        <v>2248</v>
      </c>
      <c r="B187" s="1850" t="s">
        <v>16</v>
      </c>
      <c r="C187" s="1850" t="s">
        <v>2323</v>
      </c>
      <c r="D187" s="1850" t="s">
        <v>2324</v>
      </c>
      <c r="E187" s="1850" t="s">
        <v>2325</v>
      </c>
      <c r="F187" s="1850" t="s">
        <v>2289</v>
      </c>
      <c r="G187" s="1850" t="s">
        <v>2326</v>
      </c>
      <c r="H187" s="1850" t="s">
        <v>22</v>
      </c>
      <c r="I187" s="1850" t="s">
        <v>856</v>
      </c>
    </row>
    <row r="188" ht="11.25" customHeight="1">
      <c r="A188" s="1850" t="s">
        <v>2248</v>
      </c>
      <c r="B188" s="1850" t="s">
        <v>16</v>
      </c>
      <c r="C188" s="1850" t="s">
        <v>2327</v>
      </c>
      <c r="D188" s="1850" t="s">
        <v>2328</v>
      </c>
      <c r="E188" s="1850" t="s">
        <v>2329</v>
      </c>
      <c r="F188" s="1850" t="s">
        <v>2330</v>
      </c>
      <c r="G188" s="1850" t="s">
        <v>2331</v>
      </c>
      <c r="H188" s="1850" t="s">
        <v>22</v>
      </c>
      <c r="I188" s="1850" t="s">
        <v>856</v>
      </c>
    </row>
    <row r="189" ht="11.25" customHeight="1">
      <c r="A189" s="1850" t="s">
        <v>2248</v>
      </c>
      <c r="B189" s="1850" t="s">
        <v>16</v>
      </c>
      <c r="C189" s="1850" t="s">
        <v>2332</v>
      </c>
      <c r="D189" s="1850" t="s">
        <v>2333</v>
      </c>
      <c r="E189" s="1850" t="s">
        <v>2334</v>
      </c>
      <c r="F189" s="1850" t="s">
        <v>2335</v>
      </c>
      <c r="G189" s="1850" t="s">
        <v>2336</v>
      </c>
      <c r="H189" s="1850" t="s">
        <v>22</v>
      </c>
      <c r="I189" s="1850" t="s">
        <v>856</v>
      </c>
    </row>
    <row r="190" ht="11.25" customHeight="1">
      <c r="A190" s="1850" t="s">
        <v>2248</v>
      </c>
      <c r="B190" s="1850" t="s">
        <v>16</v>
      </c>
      <c r="C190" s="1850" t="s">
        <v>2337</v>
      </c>
      <c r="D190" s="1850" t="s">
        <v>2338</v>
      </c>
      <c r="E190" s="1850" t="s">
        <v>2339</v>
      </c>
      <c r="F190" s="1850" t="s">
        <v>2340</v>
      </c>
      <c r="G190" s="1850" t="s">
        <v>2341</v>
      </c>
      <c r="H190" s="1850" t="s">
        <v>22</v>
      </c>
      <c r="I190" s="1850" t="s">
        <v>856</v>
      </c>
    </row>
    <row r="191" ht="11.25" customHeight="1">
      <c r="A191" s="1850" t="s">
        <v>2248</v>
      </c>
      <c r="B191" s="1850" t="s">
        <v>16</v>
      </c>
      <c r="C191" s="1850" t="s">
        <v>2710</v>
      </c>
      <c r="D191" s="1850" t="s">
        <v>2711</v>
      </c>
      <c r="E191" s="1850" t="s">
        <v>2712</v>
      </c>
      <c r="F191" s="1850" t="s">
        <v>2388</v>
      </c>
      <c r="G191" s="1850" t="s">
        <v>22</v>
      </c>
      <c r="H191" s="1850" t="s">
        <v>22</v>
      </c>
      <c r="I191" s="1850" t="s">
        <v>856</v>
      </c>
    </row>
    <row r="192" ht="11.25" customHeight="1">
      <c r="A192" s="1850" t="s">
        <v>2248</v>
      </c>
      <c r="B192" s="1850" t="s">
        <v>16</v>
      </c>
      <c r="C192" s="1850" t="s">
        <v>2342</v>
      </c>
      <c r="D192" s="1850" t="s">
        <v>2343</v>
      </c>
      <c r="E192" s="1850" t="s">
        <v>2344</v>
      </c>
      <c r="F192" s="1850" t="s">
        <v>2268</v>
      </c>
      <c r="G192" s="1850" t="s">
        <v>2345</v>
      </c>
      <c r="H192" s="1850" t="s">
        <v>22</v>
      </c>
      <c r="I192" s="1850" t="s">
        <v>856</v>
      </c>
    </row>
    <row r="193" ht="11.25" customHeight="1">
      <c r="A193" s="1850" t="s">
        <v>2248</v>
      </c>
      <c r="B193" s="1850" t="s">
        <v>16</v>
      </c>
      <c r="C193" s="1850" t="s">
        <v>2713</v>
      </c>
      <c r="D193" s="1850" t="s">
        <v>2714</v>
      </c>
      <c r="E193" s="1850" t="s">
        <v>2715</v>
      </c>
      <c r="F193" s="1850" t="s">
        <v>2485</v>
      </c>
      <c r="G193" s="1850" t="s">
        <v>2716</v>
      </c>
      <c r="H193" s="1850" t="s">
        <v>22</v>
      </c>
      <c r="I193" s="1850" t="s">
        <v>856</v>
      </c>
    </row>
    <row r="194" ht="11.25" customHeight="1">
      <c r="A194" s="1850" t="s">
        <v>2248</v>
      </c>
      <c r="B194" s="1850" t="s">
        <v>16</v>
      </c>
      <c r="C194" s="1850" t="s">
        <v>2346</v>
      </c>
      <c r="D194" s="1850" t="s">
        <v>2347</v>
      </c>
      <c r="E194" s="1850" t="s">
        <v>2348</v>
      </c>
      <c r="F194" s="1850" t="s">
        <v>2349</v>
      </c>
      <c r="G194" s="1850" t="s">
        <v>2350</v>
      </c>
      <c r="H194" s="1850" t="s">
        <v>22</v>
      </c>
      <c r="I194" s="1850" t="s">
        <v>856</v>
      </c>
    </row>
    <row r="195" ht="11.25" customHeight="1">
      <c r="A195" s="1850" t="s">
        <v>2248</v>
      </c>
      <c r="B195" s="1850" t="s">
        <v>16</v>
      </c>
      <c r="C195" s="1850" t="s">
        <v>2717</v>
      </c>
      <c r="D195" s="1850" t="s">
        <v>2718</v>
      </c>
      <c r="E195" s="1850" t="s">
        <v>2719</v>
      </c>
      <c r="F195" s="1850" t="s">
        <v>2354</v>
      </c>
      <c r="G195" s="1850" t="s">
        <v>2720</v>
      </c>
      <c r="H195" s="1850" t="s">
        <v>22</v>
      </c>
      <c r="I195" s="1850" t="s">
        <v>856</v>
      </c>
    </row>
    <row r="196" ht="11.25" customHeight="1">
      <c r="A196" s="1850" t="s">
        <v>2248</v>
      </c>
      <c r="B196" s="1850" t="s">
        <v>16</v>
      </c>
      <c r="C196" s="1850" t="s">
        <v>2721</v>
      </c>
      <c r="D196" s="1850" t="s">
        <v>2722</v>
      </c>
      <c r="E196" s="1850" t="s">
        <v>2723</v>
      </c>
      <c r="F196" s="1850" t="s">
        <v>2354</v>
      </c>
      <c r="G196" s="1850" t="s">
        <v>22</v>
      </c>
      <c r="H196" s="1850" t="s">
        <v>22</v>
      </c>
      <c r="I196" s="1850" t="s">
        <v>856</v>
      </c>
    </row>
    <row r="197" ht="11.25" customHeight="1">
      <c r="A197" s="1850" t="s">
        <v>2248</v>
      </c>
      <c r="B197" s="1850" t="s">
        <v>16</v>
      </c>
      <c r="C197" s="1850" t="s">
        <v>2351</v>
      </c>
      <c r="D197" s="1850" t="s">
        <v>2352</v>
      </c>
      <c r="E197" s="1850" t="s">
        <v>2353</v>
      </c>
      <c r="F197" s="1850" t="s">
        <v>2354</v>
      </c>
      <c r="G197" s="1850" t="s">
        <v>2355</v>
      </c>
      <c r="H197" s="1850" t="s">
        <v>22</v>
      </c>
      <c r="I197" s="1850" t="s">
        <v>856</v>
      </c>
    </row>
    <row r="198" ht="11.25" customHeight="1">
      <c r="A198" s="1850" t="s">
        <v>2248</v>
      </c>
      <c r="B198" s="1850" t="s">
        <v>16</v>
      </c>
      <c r="C198" s="1850" t="s">
        <v>2356</v>
      </c>
      <c r="D198" s="1850" t="s">
        <v>2357</v>
      </c>
      <c r="E198" s="1850" t="s">
        <v>2358</v>
      </c>
      <c r="F198" s="1850" t="s">
        <v>2359</v>
      </c>
      <c r="G198" s="1850" t="s">
        <v>22</v>
      </c>
      <c r="H198" s="1850" t="s">
        <v>22</v>
      </c>
      <c r="I198" s="1850" t="s">
        <v>856</v>
      </c>
    </row>
    <row r="199" ht="11.25" customHeight="1">
      <c r="A199" s="1850" t="s">
        <v>2248</v>
      </c>
      <c r="B199" s="1850" t="s">
        <v>16</v>
      </c>
      <c r="C199" s="1850" t="s">
        <v>2360</v>
      </c>
      <c r="D199" s="1850" t="s">
        <v>2361</v>
      </c>
      <c r="E199" s="1850" t="s">
        <v>2362</v>
      </c>
      <c r="F199" s="1850" t="s">
        <v>2363</v>
      </c>
      <c r="G199" s="1850" t="s">
        <v>2364</v>
      </c>
      <c r="H199" s="1850" t="s">
        <v>22</v>
      </c>
      <c r="I199" s="1850" t="s">
        <v>856</v>
      </c>
    </row>
    <row r="200" ht="11.25" customHeight="1">
      <c r="A200" s="1850" t="s">
        <v>2248</v>
      </c>
      <c r="B200" s="1850" t="s">
        <v>16</v>
      </c>
      <c r="C200" s="1850" t="s">
        <v>2365</v>
      </c>
      <c r="D200" s="1850" t="s">
        <v>2366</v>
      </c>
      <c r="E200" s="1850" t="s">
        <v>2367</v>
      </c>
      <c r="F200" s="1850" t="s">
        <v>2368</v>
      </c>
      <c r="G200" s="1850" t="s">
        <v>2369</v>
      </c>
      <c r="H200" s="1850" t="s">
        <v>22</v>
      </c>
      <c r="I200" s="1850" t="s">
        <v>856</v>
      </c>
    </row>
    <row r="201" ht="11.25" customHeight="1">
      <c r="A201" s="1850" t="s">
        <v>2248</v>
      </c>
      <c r="B201" s="1850" t="s">
        <v>16</v>
      </c>
      <c r="C201" s="1850" t="s">
        <v>2370</v>
      </c>
      <c r="D201" s="1850" t="s">
        <v>2371</v>
      </c>
      <c r="E201" s="1850" t="s">
        <v>2372</v>
      </c>
      <c r="F201" s="1850" t="s">
        <v>2373</v>
      </c>
      <c r="G201" s="1850" t="s">
        <v>2374</v>
      </c>
      <c r="H201" s="1850" t="s">
        <v>22</v>
      </c>
      <c r="I201" s="1850" t="s">
        <v>856</v>
      </c>
    </row>
    <row r="202" ht="11.25" customHeight="1">
      <c r="A202" s="1850" t="s">
        <v>2248</v>
      </c>
      <c r="B202" s="1850" t="s">
        <v>16</v>
      </c>
      <c r="C202" s="1850" t="s">
        <v>2724</v>
      </c>
      <c r="D202" s="1850" t="s">
        <v>2725</v>
      </c>
      <c r="E202" s="1850" t="s">
        <v>2726</v>
      </c>
      <c r="F202" s="1850" t="s">
        <v>2603</v>
      </c>
      <c r="G202" s="1850" t="s">
        <v>2727</v>
      </c>
      <c r="H202" s="1850" t="s">
        <v>22</v>
      </c>
      <c r="I202" s="1850" t="s">
        <v>856</v>
      </c>
    </row>
    <row r="203" ht="11.25" customHeight="1">
      <c r="A203" s="1850" t="s">
        <v>2248</v>
      </c>
      <c r="B203" s="1850" t="s">
        <v>16</v>
      </c>
      <c r="C203" s="1850" t="s">
        <v>2375</v>
      </c>
      <c r="D203" s="1850" t="s">
        <v>2376</v>
      </c>
      <c r="E203" s="1850" t="s">
        <v>2377</v>
      </c>
      <c r="F203" s="1850" t="s">
        <v>2378</v>
      </c>
      <c r="G203" s="1850" t="s">
        <v>2379</v>
      </c>
      <c r="H203" s="1850" t="s">
        <v>22</v>
      </c>
      <c r="I203" s="1850" t="s">
        <v>856</v>
      </c>
    </row>
    <row r="204" ht="11.25" customHeight="1">
      <c r="A204" s="1850" t="s">
        <v>2248</v>
      </c>
      <c r="B204" s="1850" t="s">
        <v>16</v>
      </c>
      <c r="C204" s="1850" t="s">
        <v>2728</v>
      </c>
      <c r="D204" s="1850" t="s">
        <v>2729</v>
      </c>
      <c r="E204" s="1850" t="s">
        <v>2730</v>
      </c>
      <c r="F204" s="1850" t="s">
        <v>2413</v>
      </c>
      <c r="G204" s="1850" t="s">
        <v>2731</v>
      </c>
      <c r="H204" s="1850" t="s">
        <v>22</v>
      </c>
      <c r="I204" s="1850" t="s">
        <v>856</v>
      </c>
    </row>
    <row r="205" ht="11.25" customHeight="1">
      <c r="A205" s="1850" t="s">
        <v>2248</v>
      </c>
      <c r="B205" s="1850" t="s">
        <v>16</v>
      </c>
      <c r="C205" s="1850" t="s">
        <v>2732</v>
      </c>
      <c r="D205" s="1850" t="s">
        <v>2733</v>
      </c>
      <c r="E205" s="1850" t="s">
        <v>2734</v>
      </c>
      <c r="F205" s="1850" t="s">
        <v>2603</v>
      </c>
      <c r="G205" s="1850" t="s">
        <v>2735</v>
      </c>
      <c r="H205" s="1850" t="s">
        <v>22</v>
      </c>
      <c r="I205" s="1850" t="s">
        <v>856</v>
      </c>
    </row>
    <row r="206" ht="11.25" customHeight="1">
      <c r="A206" s="1850" t="s">
        <v>2248</v>
      </c>
      <c r="B206" s="1850" t="s">
        <v>16</v>
      </c>
      <c r="C206" s="1850" t="s">
        <v>2736</v>
      </c>
      <c r="D206" s="1850" t="s">
        <v>2737</v>
      </c>
      <c r="E206" s="1850" t="s">
        <v>2738</v>
      </c>
      <c r="F206" s="1850" t="s">
        <v>2340</v>
      </c>
      <c r="G206" s="1850" t="s">
        <v>2739</v>
      </c>
      <c r="H206" s="1850" t="s">
        <v>22</v>
      </c>
      <c r="I206" s="1850" t="s">
        <v>856</v>
      </c>
    </row>
    <row r="207" ht="11.25" customHeight="1">
      <c r="A207" s="1850" t="s">
        <v>2248</v>
      </c>
      <c r="B207" s="1850" t="s">
        <v>16</v>
      </c>
      <c r="C207" s="1850" t="s">
        <v>2740</v>
      </c>
      <c r="D207" s="1850" t="s">
        <v>2741</v>
      </c>
      <c r="E207" s="1850" t="s">
        <v>2742</v>
      </c>
      <c r="F207" s="1850" t="s">
        <v>2349</v>
      </c>
      <c r="G207" s="1850" t="s">
        <v>2743</v>
      </c>
      <c r="H207" s="1850" t="s">
        <v>22</v>
      </c>
      <c r="I207" s="1850" t="s">
        <v>856</v>
      </c>
    </row>
    <row r="208" ht="11.25" customHeight="1">
      <c r="A208" s="1850" t="s">
        <v>2248</v>
      </c>
      <c r="B208" s="1850" t="s">
        <v>16</v>
      </c>
      <c r="C208" s="1850" t="s">
        <v>2385</v>
      </c>
      <c r="D208" s="1850" t="s">
        <v>2386</v>
      </c>
      <c r="E208" s="1850" t="s">
        <v>2387</v>
      </c>
      <c r="F208" s="1850" t="s">
        <v>2388</v>
      </c>
      <c r="G208" s="1850" t="s">
        <v>2389</v>
      </c>
      <c r="H208" s="1850" t="s">
        <v>22</v>
      </c>
      <c r="I208" s="1850" t="s">
        <v>856</v>
      </c>
    </row>
    <row r="209" ht="11.25" customHeight="1">
      <c r="A209" s="1850" t="s">
        <v>2248</v>
      </c>
      <c r="B209" s="1850" t="s">
        <v>16</v>
      </c>
      <c r="C209" s="1850" t="s">
        <v>2394</v>
      </c>
      <c r="D209" s="1850" t="s">
        <v>2395</v>
      </c>
      <c r="E209" s="1850" t="s">
        <v>2396</v>
      </c>
      <c r="F209" s="1850" t="s">
        <v>2397</v>
      </c>
      <c r="G209" s="1850" t="s">
        <v>22</v>
      </c>
      <c r="H209" s="1850" t="s">
        <v>22</v>
      </c>
      <c r="I209" s="1850" t="s">
        <v>856</v>
      </c>
    </row>
    <row r="210" ht="11.25" customHeight="1">
      <c r="A210" s="1850" t="s">
        <v>2248</v>
      </c>
      <c r="B210" s="1850" t="s">
        <v>16</v>
      </c>
      <c r="C210" s="1850" t="s">
        <v>2744</v>
      </c>
      <c r="D210" s="1850" t="s">
        <v>2745</v>
      </c>
      <c r="E210" s="1850" t="s">
        <v>2746</v>
      </c>
      <c r="F210" s="1850" t="s">
        <v>2546</v>
      </c>
      <c r="G210" s="1850" t="s">
        <v>2747</v>
      </c>
      <c r="H210" s="1850" t="s">
        <v>22</v>
      </c>
      <c r="I210" s="1850" t="s">
        <v>856</v>
      </c>
    </row>
    <row r="211" ht="11.25" customHeight="1">
      <c r="A211" s="1850" t="s">
        <v>2248</v>
      </c>
      <c r="B211" s="1850" t="s">
        <v>16</v>
      </c>
      <c r="C211" s="1850" t="s">
        <v>2398</v>
      </c>
      <c r="D211" s="1850" t="s">
        <v>2399</v>
      </c>
      <c r="E211" s="1850" t="s">
        <v>2400</v>
      </c>
      <c r="F211" s="1850" t="s">
        <v>2359</v>
      </c>
      <c r="G211" s="1850" t="s">
        <v>22</v>
      </c>
      <c r="H211" s="1850" t="s">
        <v>22</v>
      </c>
      <c r="I211" s="1850" t="s">
        <v>856</v>
      </c>
    </row>
    <row r="212" ht="11.25" customHeight="1">
      <c r="A212" s="1850" t="s">
        <v>2248</v>
      </c>
      <c r="B212" s="1850" t="s">
        <v>16</v>
      </c>
      <c r="C212" s="1850" t="s">
        <v>2401</v>
      </c>
      <c r="D212" s="1850" t="s">
        <v>2402</v>
      </c>
      <c r="E212" s="1850" t="s">
        <v>2403</v>
      </c>
      <c r="F212" s="1850" t="s">
        <v>2404</v>
      </c>
      <c r="G212" s="1850" t="s">
        <v>2331</v>
      </c>
      <c r="H212" s="1850" t="s">
        <v>22</v>
      </c>
      <c r="I212" s="1850" t="s">
        <v>856</v>
      </c>
    </row>
    <row r="213" ht="11.25" customHeight="1">
      <c r="A213" s="1850" t="s">
        <v>2248</v>
      </c>
      <c r="B213" s="1850" t="s">
        <v>16</v>
      </c>
      <c r="C213" s="1850" t="s">
        <v>2748</v>
      </c>
      <c r="D213" s="1850" t="s">
        <v>2749</v>
      </c>
      <c r="E213" s="1850" t="s">
        <v>2750</v>
      </c>
      <c r="F213" s="1850" t="s">
        <v>2289</v>
      </c>
      <c r="G213" s="1850" t="s">
        <v>2751</v>
      </c>
      <c r="H213" s="1850" t="s">
        <v>22</v>
      </c>
      <c r="I213" s="1850" t="s">
        <v>856</v>
      </c>
    </row>
    <row r="214" ht="11.25" customHeight="1">
      <c r="A214" s="1850" t="s">
        <v>2248</v>
      </c>
      <c r="B214" s="1850" t="s">
        <v>16</v>
      </c>
      <c r="C214" s="1850" t="s">
        <v>2752</v>
      </c>
      <c r="D214" s="1850" t="s">
        <v>2753</v>
      </c>
      <c r="E214" s="1850" t="s">
        <v>2754</v>
      </c>
      <c r="F214" s="1850" t="s">
        <v>2408</v>
      </c>
      <c r="G214" s="1850" t="s">
        <v>22</v>
      </c>
      <c r="H214" s="1850" t="s">
        <v>22</v>
      </c>
      <c r="I214" s="1850" t="s">
        <v>856</v>
      </c>
    </row>
    <row r="215" ht="11.25" customHeight="1">
      <c r="A215" s="1850" t="s">
        <v>2248</v>
      </c>
      <c r="B215" s="1850" t="s">
        <v>16</v>
      </c>
      <c r="C215" s="1850" t="s">
        <v>2755</v>
      </c>
      <c r="D215" s="1850" t="s">
        <v>2756</v>
      </c>
      <c r="E215" s="1850" t="s">
        <v>2757</v>
      </c>
      <c r="F215" s="1850" t="s">
        <v>2708</v>
      </c>
      <c r="G215" s="1850" t="s">
        <v>22</v>
      </c>
      <c r="H215" s="1850" t="s">
        <v>22</v>
      </c>
      <c r="I215" s="1850" t="s">
        <v>856</v>
      </c>
    </row>
    <row r="216" ht="11.25" customHeight="1">
      <c r="A216" s="1850" t="s">
        <v>2248</v>
      </c>
      <c r="B216" s="1850" t="s">
        <v>16</v>
      </c>
      <c r="C216" s="1850" t="s">
        <v>2758</v>
      </c>
      <c r="D216" s="1850" t="s">
        <v>2759</v>
      </c>
      <c r="E216" s="1850" t="s">
        <v>2760</v>
      </c>
      <c r="F216" s="1850" t="s">
        <v>2264</v>
      </c>
      <c r="G216" s="1850" t="s">
        <v>22</v>
      </c>
      <c r="H216" s="1850" t="s">
        <v>22</v>
      </c>
      <c r="I216" s="1850" t="s">
        <v>856</v>
      </c>
    </row>
    <row r="217" ht="11.25" customHeight="1">
      <c r="A217" s="1850" t="s">
        <v>2248</v>
      </c>
      <c r="B217" s="1850" t="s">
        <v>16</v>
      </c>
      <c r="C217" s="1850" t="s">
        <v>2761</v>
      </c>
      <c r="D217" s="1850" t="s">
        <v>2762</v>
      </c>
      <c r="E217" s="1850" t="s">
        <v>2763</v>
      </c>
      <c r="F217" s="1850" t="s">
        <v>2368</v>
      </c>
      <c r="G217" s="1850" t="s">
        <v>22</v>
      </c>
      <c r="H217" s="1850" t="s">
        <v>22</v>
      </c>
      <c r="I217" s="1850" t="s">
        <v>856</v>
      </c>
    </row>
    <row r="218" ht="11.25" customHeight="1">
      <c r="A218" s="1850" t="s">
        <v>2248</v>
      </c>
      <c r="B218" s="1850" t="s">
        <v>16</v>
      </c>
      <c r="C218" s="1850" t="s">
        <v>2764</v>
      </c>
      <c r="D218" s="1850" t="s">
        <v>2765</v>
      </c>
      <c r="E218" s="1850" t="s">
        <v>2766</v>
      </c>
      <c r="F218" s="1850" t="s">
        <v>2485</v>
      </c>
      <c r="G218" s="1850" t="s">
        <v>2767</v>
      </c>
      <c r="H218" s="1850" t="s">
        <v>22</v>
      </c>
      <c r="I218" s="1850" t="s">
        <v>856</v>
      </c>
    </row>
    <row r="219" ht="11.25" customHeight="1">
      <c r="A219" s="1850" t="s">
        <v>2248</v>
      </c>
      <c r="B219" s="1850" t="s">
        <v>16</v>
      </c>
      <c r="C219" s="1850" t="s">
        <v>2414</v>
      </c>
      <c r="D219" s="1850" t="s">
        <v>2415</v>
      </c>
      <c r="E219" s="1850" t="s">
        <v>2416</v>
      </c>
      <c r="F219" s="1850" t="s">
        <v>2383</v>
      </c>
      <c r="G219" s="1850" t="s">
        <v>22</v>
      </c>
      <c r="H219" s="1850" t="s">
        <v>22</v>
      </c>
      <c r="I219" s="1850" t="s">
        <v>856</v>
      </c>
    </row>
    <row r="220" ht="11.25" customHeight="1">
      <c r="A220" s="1850" t="s">
        <v>2248</v>
      </c>
      <c r="B220" s="1850" t="s">
        <v>16</v>
      </c>
      <c r="C220" s="1850" t="s">
        <v>2768</v>
      </c>
      <c r="D220" s="1850" t="s">
        <v>2769</v>
      </c>
      <c r="E220" s="1850" t="s">
        <v>2770</v>
      </c>
      <c r="F220" s="1850" t="s">
        <v>2268</v>
      </c>
      <c r="G220" s="1850" t="s">
        <v>22</v>
      </c>
      <c r="H220" s="1850" t="s">
        <v>22</v>
      </c>
      <c r="I220" s="1850" t="s">
        <v>856</v>
      </c>
    </row>
    <row r="221" ht="11.25" customHeight="1">
      <c r="A221" s="1850" t="s">
        <v>2248</v>
      </c>
      <c r="B221" s="1850" t="s">
        <v>16</v>
      </c>
      <c r="C221" s="1850" t="s">
        <v>2771</v>
      </c>
      <c r="D221" s="1850" t="s">
        <v>2772</v>
      </c>
      <c r="E221" s="1850" t="s">
        <v>2773</v>
      </c>
      <c r="F221" s="1850" t="s">
        <v>2413</v>
      </c>
      <c r="G221" s="1850" t="s">
        <v>22</v>
      </c>
      <c r="H221" s="1850" t="s">
        <v>22</v>
      </c>
      <c r="I221" s="1850" t="s">
        <v>856</v>
      </c>
    </row>
    <row r="222" ht="11.25" customHeight="1">
      <c r="A222" s="1850" t="s">
        <v>2248</v>
      </c>
      <c r="B222" s="1850" t="s">
        <v>16</v>
      </c>
      <c r="C222" s="1850" t="s">
        <v>2420</v>
      </c>
      <c r="D222" s="1850" t="s">
        <v>2421</v>
      </c>
      <c r="E222" s="1850" t="s">
        <v>2422</v>
      </c>
      <c r="F222" s="1850" t="s">
        <v>2289</v>
      </c>
      <c r="G222" s="1850" t="s">
        <v>22</v>
      </c>
      <c r="H222" s="1850" t="s">
        <v>22</v>
      </c>
      <c r="I222" s="1850" t="s">
        <v>856</v>
      </c>
    </row>
    <row r="223" ht="11.25" customHeight="1">
      <c r="A223" s="1850" t="s">
        <v>2248</v>
      </c>
      <c r="B223" s="1850" t="s">
        <v>16</v>
      </c>
      <c r="C223" s="1850" t="s">
        <v>2774</v>
      </c>
      <c r="D223" s="1850" t="s">
        <v>2775</v>
      </c>
      <c r="E223" s="1850" t="s">
        <v>2776</v>
      </c>
      <c r="F223" s="1850" t="s">
        <v>2777</v>
      </c>
      <c r="G223" s="1850" t="s">
        <v>2778</v>
      </c>
      <c r="H223" s="1850" t="s">
        <v>22</v>
      </c>
      <c r="I223" s="1850" t="s">
        <v>856</v>
      </c>
    </row>
    <row r="224" ht="11.25" customHeight="1">
      <c r="A224" s="1850" t="s">
        <v>2248</v>
      </c>
      <c r="B224" s="1850" t="s">
        <v>16</v>
      </c>
      <c r="C224" s="1850" t="s">
        <v>2423</v>
      </c>
      <c r="D224" s="1850" t="s">
        <v>2424</v>
      </c>
      <c r="E224" s="1850" t="s">
        <v>2425</v>
      </c>
      <c r="F224" s="1850" t="s">
        <v>2426</v>
      </c>
      <c r="G224" s="1850" t="s">
        <v>22</v>
      </c>
      <c r="H224" s="1850" t="s">
        <v>22</v>
      </c>
      <c r="I224" s="1850" t="s">
        <v>856</v>
      </c>
    </row>
    <row r="225" ht="11.25" customHeight="1">
      <c r="A225" s="1850" t="s">
        <v>2248</v>
      </c>
      <c r="B225" s="1850" t="s">
        <v>16</v>
      </c>
      <c r="C225" s="1850" t="s">
        <v>2430</v>
      </c>
      <c r="D225" s="1850" t="s">
        <v>2431</v>
      </c>
      <c r="E225" s="1850" t="s">
        <v>2432</v>
      </c>
      <c r="F225" s="1850" t="s">
        <v>2373</v>
      </c>
      <c r="G225" s="1850" t="s">
        <v>22</v>
      </c>
      <c r="H225" s="1850" t="s">
        <v>22</v>
      </c>
      <c r="I225" s="1850" t="s">
        <v>856</v>
      </c>
    </row>
    <row r="226" ht="11.25" customHeight="1">
      <c r="A226" s="1850" t="s">
        <v>2248</v>
      </c>
      <c r="B226" s="1850" t="s">
        <v>16</v>
      </c>
      <c r="C226" s="1850" t="s">
        <v>2779</v>
      </c>
      <c r="D226" s="1850" t="s">
        <v>2780</v>
      </c>
      <c r="E226" s="1850" t="s">
        <v>2781</v>
      </c>
      <c r="F226" s="1850" t="s">
        <v>2393</v>
      </c>
      <c r="G226" s="1850" t="s">
        <v>22</v>
      </c>
      <c r="H226" s="1850" t="s">
        <v>22</v>
      </c>
      <c r="I226" s="1850" t="s">
        <v>856</v>
      </c>
    </row>
    <row r="227" ht="11.25" customHeight="1">
      <c r="A227" s="1850" t="s">
        <v>2248</v>
      </c>
      <c r="B227" s="1850" t="s">
        <v>16</v>
      </c>
      <c r="C227" s="1850" t="s">
        <v>2782</v>
      </c>
      <c r="D227" s="1850" t="s">
        <v>2783</v>
      </c>
      <c r="E227" s="1850" t="s">
        <v>2784</v>
      </c>
      <c r="F227" s="1850" t="s">
        <v>2359</v>
      </c>
      <c r="G227" s="1850" t="s">
        <v>22</v>
      </c>
      <c r="H227" s="1850" t="s">
        <v>22</v>
      </c>
      <c r="I227" s="1850" t="s">
        <v>856</v>
      </c>
    </row>
    <row r="228" ht="11.25" customHeight="1">
      <c r="A228" s="1850" t="s">
        <v>2248</v>
      </c>
      <c r="B228" s="1850" t="s">
        <v>16</v>
      </c>
      <c r="C228" s="1850" t="s">
        <v>2448</v>
      </c>
      <c r="D228" s="1850" t="s">
        <v>2449</v>
      </c>
      <c r="E228" s="1850" t="s">
        <v>2450</v>
      </c>
      <c r="F228" s="1850" t="s">
        <v>2264</v>
      </c>
      <c r="G228" s="1850" t="s">
        <v>22</v>
      </c>
      <c r="H228" s="1850" t="s">
        <v>22</v>
      </c>
      <c r="I228" s="1850" t="s">
        <v>856</v>
      </c>
    </row>
    <row r="229" ht="11.25" customHeight="1">
      <c r="A229" s="1850" t="s">
        <v>2248</v>
      </c>
      <c r="B229" s="1850" t="s">
        <v>16</v>
      </c>
      <c r="C229" s="1850" t="s">
        <v>2785</v>
      </c>
      <c r="D229" s="1850" t="s">
        <v>2786</v>
      </c>
      <c r="E229" s="1850" t="s">
        <v>2787</v>
      </c>
      <c r="F229" s="1850" t="s">
        <v>2268</v>
      </c>
      <c r="G229" s="1850" t="s">
        <v>2788</v>
      </c>
      <c r="H229" s="1850" t="s">
        <v>22</v>
      </c>
      <c r="I229" s="1850" t="s">
        <v>856</v>
      </c>
    </row>
    <row r="230" ht="11.25" customHeight="1">
      <c r="A230" s="1850" t="s">
        <v>2248</v>
      </c>
      <c r="B230" s="1850" t="s">
        <v>16</v>
      </c>
      <c r="C230" s="1850" t="s">
        <v>2463</v>
      </c>
      <c r="D230" s="1850" t="s">
        <v>2464</v>
      </c>
      <c r="E230" s="1850" t="s">
        <v>2465</v>
      </c>
      <c r="F230" s="1850" t="s">
        <v>2289</v>
      </c>
      <c r="G230" s="1850" t="s">
        <v>22</v>
      </c>
      <c r="H230" s="1850" t="s">
        <v>22</v>
      </c>
      <c r="I230" s="1850" t="s">
        <v>856</v>
      </c>
    </row>
    <row r="231" ht="11.25" customHeight="1">
      <c r="A231" s="1850" t="s">
        <v>2248</v>
      </c>
      <c r="B231" s="1850" t="s">
        <v>16</v>
      </c>
      <c r="C231" s="1850" t="s">
        <v>2789</v>
      </c>
      <c r="D231" s="1850" t="s">
        <v>2790</v>
      </c>
      <c r="E231" s="1850" t="s">
        <v>2791</v>
      </c>
      <c r="F231" s="1850" t="s">
        <v>2289</v>
      </c>
      <c r="G231" s="1850" t="s">
        <v>22</v>
      </c>
      <c r="H231" s="1850" t="s">
        <v>22</v>
      </c>
      <c r="I231" s="1850" t="s">
        <v>856</v>
      </c>
    </row>
    <row r="232" ht="11.25" customHeight="1">
      <c r="A232" s="1850" t="s">
        <v>2248</v>
      </c>
      <c r="B232" s="1850" t="s">
        <v>16</v>
      </c>
      <c r="C232" s="1850" t="s">
        <v>2792</v>
      </c>
      <c r="D232" s="1850" t="s">
        <v>2793</v>
      </c>
      <c r="E232" s="1850" t="s">
        <v>2794</v>
      </c>
      <c r="F232" s="1850" t="s">
        <v>2408</v>
      </c>
      <c r="G232" s="1850" t="s">
        <v>2795</v>
      </c>
      <c r="H232" s="1850" t="s">
        <v>22</v>
      </c>
      <c r="I232" s="1850" t="s">
        <v>856</v>
      </c>
    </row>
    <row r="233" ht="11.25" customHeight="1">
      <c r="A233" s="1850" t="s">
        <v>2248</v>
      </c>
      <c r="B233" s="1850" t="s">
        <v>16</v>
      </c>
      <c r="C233" s="1850" t="s">
        <v>2469</v>
      </c>
      <c r="D233" s="1850" t="s">
        <v>2470</v>
      </c>
      <c r="E233" s="1850" t="s">
        <v>2471</v>
      </c>
      <c r="F233" s="1850" t="s">
        <v>2321</v>
      </c>
      <c r="G233" s="1850" t="s">
        <v>2472</v>
      </c>
      <c r="H233" s="1850" t="s">
        <v>22</v>
      </c>
      <c r="I233" s="1850" t="s">
        <v>856</v>
      </c>
    </row>
    <row r="234" ht="11.25" customHeight="1">
      <c r="A234" s="1850" t="s">
        <v>2248</v>
      </c>
      <c r="B234" s="1850" t="s">
        <v>16</v>
      </c>
      <c r="C234" s="1850" t="s">
        <v>2473</v>
      </c>
      <c r="D234" s="1850" t="s">
        <v>2474</v>
      </c>
      <c r="E234" s="1850" t="s">
        <v>2475</v>
      </c>
      <c r="F234" s="1850" t="s">
        <v>2373</v>
      </c>
      <c r="G234" s="1850" t="s">
        <v>2476</v>
      </c>
      <c r="H234" s="1850" t="s">
        <v>22</v>
      </c>
      <c r="I234" s="1850" t="s">
        <v>856</v>
      </c>
    </row>
    <row r="235" ht="11.25" customHeight="1">
      <c r="A235" s="1850" t="s">
        <v>2248</v>
      </c>
      <c r="B235" s="1850" t="s">
        <v>16</v>
      </c>
      <c r="C235" s="1850" t="s">
        <v>2796</v>
      </c>
      <c r="D235" s="1850" t="s">
        <v>2797</v>
      </c>
      <c r="E235" s="1850" t="s">
        <v>2798</v>
      </c>
      <c r="F235" s="1850" t="s">
        <v>2383</v>
      </c>
      <c r="G235" s="1850" t="s">
        <v>2799</v>
      </c>
      <c r="H235" s="1850" t="s">
        <v>22</v>
      </c>
      <c r="I235" s="1850" t="s">
        <v>856</v>
      </c>
    </row>
    <row r="236" ht="11.25" customHeight="1">
      <c r="A236" s="1850" t="s">
        <v>2248</v>
      </c>
      <c r="B236" s="1850" t="s">
        <v>16</v>
      </c>
      <c r="C236" s="1850" t="s">
        <v>2800</v>
      </c>
      <c r="D236" s="1850" t="s">
        <v>2801</v>
      </c>
      <c r="E236" s="1850" t="s">
        <v>2802</v>
      </c>
      <c r="F236" s="1850" t="s">
        <v>2293</v>
      </c>
      <c r="G236" s="1850" t="s">
        <v>22</v>
      </c>
      <c r="H236" s="1850" t="s">
        <v>22</v>
      </c>
      <c r="I236" s="1850" t="s">
        <v>856</v>
      </c>
    </row>
    <row r="237" ht="11.25" customHeight="1">
      <c r="A237" s="1850" t="s">
        <v>2248</v>
      </c>
      <c r="B237" s="1850" t="s">
        <v>16</v>
      </c>
      <c r="C237" s="1850" t="s">
        <v>2803</v>
      </c>
      <c r="D237" s="1850" t="s">
        <v>2804</v>
      </c>
      <c r="E237" s="1850" t="s">
        <v>2805</v>
      </c>
      <c r="F237" s="1850" t="s">
        <v>2485</v>
      </c>
      <c r="G237" s="1850" t="s">
        <v>22</v>
      </c>
      <c r="H237" s="1850" t="s">
        <v>22</v>
      </c>
      <c r="I237" s="1850" t="s">
        <v>856</v>
      </c>
    </row>
    <row r="238" ht="11.25" customHeight="1">
      <c r="A238" s="1850" t="s">
        <v>2248</v>
      </c>
      <c r="B238" s="1850" t="s">
        <v>16</v>
      </c>
      <c r="C238" s="1850" t="s">
        <v>2806</v>
      </c>
      <c r="D238" s="1850" t="s">
        <v>2807</v>
      </c>
      <c r="E238" s="1850" t="s">
        <v>2808</v>
      </c>
      <c r="F238" s="1850" t="s">
        <v>2330</v>
      </c>
      <c r="G238" s="1850" t="s">
        <v>22</v>
      </c>
      <c r="H238" s="1850" t="s">
        <v>22</v>
      </c>
      <c r="I238" s="1850" t="s">
        <v>856</v>
      </c>
    </row>
    <row r="239" ht="11.25" customHeight="1">
      <c r="A239" s="1850" t="s">
        <v>2248</v>
      </c>
      <c r="B239" s="1850" t="s">
        <v>16</v>
      </c>
      <c r="C239" s="1850" t="s">
        <v>2809</v>
      </c>
      <c r="D239" s="1850" t="s">
        <v>2810</v>
      </c>
      <c r="E239" s="1850" t="s">
        <v>2811</v>
      </c>
      <c r="F239" s="1850" t="s">
        <v>2485</v>
      </c>
      <c r="G239" s="1850" t="s">
        <v>2812</v>
      </c>
      <c r="H239" s="1850" t="s">
        <v>22</v>
      </c>
      <c r="I239" s="1850" t="s">
        <v>856</v>
      </c>
    </row>
    <row r="240" ht="11.25" customHeight="1">
      <c r="A240" s="1850" t="s">
        <v>2248</v>
      </c>
      <c r="B240" s="1850" t="s">
        <v>16</v>
      </c>
      <c r="C240" s="1850" t="s">
        <v>2813</v>
      </c>
      <c r="D240" s="1850" t="s">
        <v>2814</v>
      </c>
      <c r="E240" s="1850" t="s">
        <v>2815</v>
      </c>
      <c r="F240" s="1850" t="s">
        <v>2264</v>
      </c>
      <c r="G240" s="1850" t="s">
        <v>2816</v>
      </c>
      <c r="H240" s="1850" t="s">
        <v>22</v>
      </c>
      <c r="I240" s="1850" t="s">
        <v>856</v>
      </c>
    </row>
    <row r="241" ht="11.25" customHeight="1">
      <c r="A241" s="1850" t="s">
        <v>2248</v>
      </c>
      <c r="B241" s="1850" t="s">
        <v>16</v>
      </c>
      <c r="C241" s="1850" t="s">
        <v>2817</v>
      </c>
      <c r="D241" s="1850" t="s">
        <v>2818</v>
      </c>
      <c r="E241" s="1850" t="s">
        <v>2819</v>
      </c>
      <c r="F241" s="1850" t="s">
        <v>2330</v>
      </c>
      <c r="G241" s="1850" t="s">
        <v>22</v>
      </c>
      <c r="H241" s="1850" t="s">
        <v>22</v>
      </c>
      <c r="I241" s="1850" t="s">
        <v>856</v>
      </c>
    </row>
    <row r="242" ht="11.25" customHeight="1">
      <c r="A242" s="1850" t="s">
        <v>2248</v>
      </c>
      <c r="B242" s="1850" t="s">
        <v>16</v>
      </c>
      <c r="C242" s="1850" t="s">
        <v>2820</v>
      </c>
      <c r="D242" s="1850" t="s">
        <v>2821</v>
      </c>
      <c r="E242" s="1850" t="s">
        <v>2822</v>
      </c>
      <c r="F242" s="1850" t="s">
        <v>2404</v>
      </c>
      <c r="G242" s="1850" t="s">
        <v>22</v>
      </c>
      <c r="H242" s="1850" t="s">
        <v>22</v>
      </c>
      <c r="I242" s="1850" t="s">
        <v>856</v>
      </c>
    </row>
    <row r="243" ht="11.25" customHeight="1">
      <c r="A243" s="1850" t="s">
        <v>2248</v>
      </c>
      <c r="B243" s="1850" t="s">
        <v>16</v>
      </c>
      <c r="C243" s="1850" t="s">
        <v>2823</v>
      </c>
      <c r="D243" s="1850" t="s">
        <v>2824</v>
      </c>
      <c r="E243" s="1850" t="s">
        <v>2825</v>
      </c>
      <c r="F243" s="1850" t="s">
        <v>2603</v>
      </c>
      <c r="G243" s="1850" t="s">
        <v>2826</v>
      </c>
      <c r="H243" s="1850" t="s">
        <v>22</v>
      </c>
      <c r="I243" s="1850" t="s">
        <v>856</v>
      </c>
    </row>
    <row r="244" ht="11.25" customHeight="1">
      <c r="A244" s="1850" t="s">
        <v>2248</v>
      </c>
      <c r="B244" s="1850" t="s">
        <v>16</v>
      </c>
      <c r="C244" s="1850" t="s">
        <v>2482</v>
      </c>
      <c r="D244" s="1850" t="s">
        <v>2483</v>
      </c>
      <c r="E244" s="1850" t="s">
        <v>2484</v>
      </c>
      <c r="F244" s="1850" t="s">
        <v>2485</v>
      </c>
      <c r="G244" s="1850" t="s">
        <v>2486</v>
      </c>
      <c r="H244" s="1850" t="s">
        <v>22</v>
      </c>
      <c r="I244" s="1850" t="s">
        <v>856</v>
      </c>
    </row>
    <row r="245" ht="11.25" customHeight="1">
      <c r="A245" s="1850" t="s">
        <v>2248</v>
      </c>
      <c r="B245" s="1850" t="s">
        <v>16</v>
      </c>
      <c r="C245" s="1850" t="s">
        <v>2827</v>
      </c>
      <c r="D245" s="1850" t="s">
        <v>2828</v>
      </c>
      <c r="E245" s="1850" t="s">
        <v>2829</v>
      </c>
      <c r="F245" s="1850" t="s">
        <v>2408</v>
      </c>
      <c r="G245" s="1850" t="s">
        <v>2830</v>
      </c>
      <c r="H245" s="1850" t="s">
        <v>22</v>
      </c>
      <c r="I245" s="1850" t="s">
        <v>856</v>
      </c>
    </row>
    <row r="246" ht="11.25" customHeight="1">
      <c r="A246" s="1850" t="s">
        <v>2248</v>
      </c>
      <c r="B246" s="1850" t="s">
        <v>16</v>
      </c>
      <c r="C246" s="1850" t="s">
        <v>2831</v>
      </c>
      <c r="D246" s="1850" t="s">
        <v>2832</v>
      </c>
      <c r="E246" s="1850" t="s">
        <v>2833</v>
      </c>
      <c r="F246" s="1850" t="s">
        <v>2340</v>
      </c>
      <c r="G246" s="1850" t="s">
        <v>2834</v>
      </c>
      <c r="H246" s="1850" t="s">
        <v>22</v>
      </c>
      <c r="I246" s="1850" t="s">
        <v>856</v>
      </c>
    </row>
    <row r="247" ht="11.25" customHeight="1">
      <c r="A247" s="1850" t="s">
        <v>2248</v>
      </c>
      <c r="B247" s="1850" t="s">
        <v>16</v>
      </c>
      <c r="C247" s="1850" t="s">
        <v>2835</v>
      </c>
      <c r="D247" s="1850" t="s">
        <v>2836</v>
      </c>
      <c r="E247" s="1850" t="s">
        <v>2837</v>
      </c>
      <c r="F247" s="1850" t="s">
        <v>2312</v>
      </c>
      <c r="G247" s="1850" t="s">
        <v>22</v>
      </c>
      <c r="H247" s="1850" t="s">
        <v>22</v>
      </c>
      <c r="I247" s="1850" t="s">
        <v>856</v>
      </c>
    </row>
    <row r="248" ht="11.25" customHeight="1">
      <c r="A248" s="1850" t="s">
        <v>2248</v>
      </c>
      <c r="B248" s="1850" t="s">
        <v>16</v>
      </c>
      <c r="C248" s="1850" t="s">
        <v>2838</v>
      </c>
      <c r="D248" s="1850" t="s">
        <v>2839</v>
      </c>
      <c r="E248" s="1850" t="s">
        <v>2840</v>
      </c>
      <c r="F248" s="1850" t="s">
        <v>2368</v>
      </c>
      <c r="G248" s="1850" t="s">
        <v>22</v>
      </c>
      <c r="H248" s="1850" t="s">
        <v>22</v>
      </c>
      <c r="I248" s="1850" t="s">
        <v>856</v>
      </c>
    </row>
    <row r="249" ht="11.25" customHeight="1">
      <c r="A249" s="1850" t="s">
        <v>2248</v>
      </c>
      <c r="B249" s="1850" t="s">
        <v>16</v>
      </c>
      <c r="C249" s="1850" t="s">
        <v>2841</v>
      </c>
      <c r="D249" s="1850" t="s">
        <v>2842</v>
      </c>
      <c r="E249" s="1850" t="s">
        <v>2843</v>
      </c>
      <c r="F249" s="1850" t="s">
        <v>2316</v>
      </c>
      <c r="G249" s="1850" t="s">
        <v>22</v>
      </c>
      <c r="H249" s="1850" t="s">
        <v>22</v>
      </c>
      <c r="I249" s="1850" t="s">
        <v>856</v>
      </c>
    </row>
    <row r="250" ht="11.25" customHeight="1">
      <c r="A250" s="1850" t="s">
        <v>2248</v>
      </c>
      <c r="B250" s="1850" t="s">
        <v>16</v>
      </c>
      <c r="C250" s="1850" t="s">
        <v>2844</v>
      </c>
      <c r="D250" s="1850" t="s">
        <v>2845</v>
      </c>
      <c r="E250" s="1850" t="s">
        <v>2846</v>
      </c>
      <c r="F250" s="1850" t="s">
        <v>2264</v>
      </c>
      <c r="G250" s="1850" t="s">
        <v>22</v>
      </c>
      <c r="H250" s="1850" t="s">
        <v>22</v>
      </c>
      <c r="I250" s="1850" t="s">
        <v>856</v>
      </c>
    </row>
    <row r="251" ht="11.25" customHeight="1">
      <c r="A251" s="1850" t="s">
        <v>2248</v>
      </c>
      <c r="B251" s="1850" t="s">
        <v>16</v>
      </c>
      <c r="C251" s="1850" t="s">
        <v>2847</v>
      </c>
      <c r="D251" s="1850" t="s">
        <v>2848</v>
      </c>
      <c r="E251" s="1850" t="s">
        <v>2849</v>
      </c>
      <c r="F251" s="1850" t="s">
        <v>2264</v>
      </c>
      <c r="G251" s="1850" t="s">
        <v>22</v>
      </c>
      <c r="H251" s="1850" t="s">
        <v>22</v>
      </c>
      <c r="I251" s="1850" t="s">
        <v>856</v>
      </c>
    </row>
    <row r="252" ht="11.25" customHeight="1">
      <c r="A252" s="1850" t="s">
        <v>2248</v>
      </c>
      <c r="B252" s="1850" t="s">
        <v>16</v>
      </c>
      <c r="C252" s="1850" t="s">
        <v>2850</v>
      </c>
      <c r="D252" s="1850" t="s">
        <v>2851</v>
      </c>
      <c r="E252" s="1850" t="s">
        <v>2852</v>
      </c>
      <c r="F252" s="1850" t="s">
        <v>2485</v>
      </c>
      <c r="G252" s="1850" t="s">
        <v>22</v>
      </c>
      <c r="H252" s="1850" t="s">
        <v>22</v>
      </c>
      <c r="I252" s="1850" t="s">
        <v>856</v>
      </c>
    </row>
    <row r="253" ht="11.25" customHeight="1">
      <c r="A253" s="1850" t="s">
        <v>2248</v>
      </c>
      <c r="B253" s="1850" t="s">
        <v>16</v>
      </c>
      <c r="C253" s="1850" t="s">
        <v>2853</v>
      </c>
      <c r="D253" s="1850" t="s">
        <v>2854</v>
      </c>
      <c r="E253" s="1850" t="s">
        <v>2855</v>
      </c>
      <c r="F253" s="1850" t="s">
        <v>2485</v>
      </c>
      <c r="G253" s="1850" t="s">
        <v>22</v>
      </c>
      <c r="H253" s="1850" t="s">
        <v>22</v>
      </c>
      <c r="I253" s="1850" t="s">
        <v>856</v>
      </c>
    </row>
    <row r="254" ht="11.25" customHeight="1">
      <c r="A254" s="1850" t="s">
        <v>2248</v>
      </c>
      <c r="B254" s="1850" t="s">
        <v>16</v>
      </c>
      <c r="C254" s="1850" t="s">
        <v>2856</v>
      </c>
      <c r="D254" s="1850" t="s">
        <v>2857</v>
      </c>
      <c r="E254" s="1850" t="s">
        <v>2858</v>
      </c>
      <c r="F254" s="1850" t="s">
        <v>2485</v>
      </c>
      <c r="G254" s="1850" t="s">
        <v>22</v>
      </c>
      <c r="H254" s="1850" t="s">
        <v>22</v>
      </c>
      <c r="I254" s="1850" t="s">
        <v>856</v>
      </c>
    </row>
    <row r="255" ht="11.25" customHeight="1">
      <c r="A255" s="1850" t="s">
        <v>2248</v>
      </c>
      <c r="B255" s="1850" t="s">
        <v>16</v>
      </c>
      <c r="C255" s="1850" t="s">
        <v>2859</v>
      </c>
      <c r="D255" s="1850" t="s">
        <v>2860</v>
      </c>
      <c r="E255" s="1850" t="s">
        <v>2861</v>
      </c>
      <c r="F255" s="1850" t="s">
        <v>2368</v>
      </c>
      <c r="G255" s="1850" t="s">
        <v>22</v>
      </c>
      <c r="H255" s="1850" t="s">
        <v>22</v>
      </c>
      <c r="I255" s="1850" t="s">
        <v>856</v>
      </c>
    </row>
    <row r="256" ht="11.25" customHeight="1">
      <c r="A256" s="1850" t="s">
        <v>2248</v>
      </c>
      <c r="B256" s="1850" t="s">
        <v>16</v>
      </c>
      <c r="C256" s="1850" t="s">
        <v>2862</v>
      </c>
      <c r="D256" s="1850" t="s">
        <v>2863</v>
      </c>
      <c r="E256" s="1850" t="s">
        <v>2864</v>
      </c>
      <c r="F256" s="1850" t="s">
        <v>2408</v>
      </c>
      <c r="G256" s="1850" t="s">
        <v>22</v>
      </c>
      <c r="H256" s="1850" t="s">
        <v>22</v>
      </c>
      <c r="I256" s="1850" t="s">
        <v>856</v>
      </c>
    </row>
    <row r="257" ht="11.25" customHeight="1">
      <c r="A257" s="1850" t="s">
        <v>2248</v>
      </c>
      <c r="B257" s="1850" t="s">
        <v>16</v>
      </c>
      <c r="C257" s="1850" t="s">
        <v>2865</v>
      </c>
      <c r="D257" s="1850" t="s">
        <v>2866</v>
      </c>
      <c r="E257" s="1850" t="s">
        <v>2867</v>
      </c>
      <c r="F257" s="1850" t="s">
        <v>2349</v>
      </c>
      <c r="G257" s="1850" t="s">
        <v>22</v>
      </c>
      <c r="H257" s="1850" t="s">
        <v>22</v>
      </c>
      <c r="I257" s="1850" t="s">
        <v>856</v>
      </c>
    </row>
    <row r="258" ht="11.25" customHeight="1">
      <c r="A258" s="1850" t="s">
        <v>2248</v>
      </c>
      <c r="B258" s="1850" t="s">
        <v>16</v>
      </c>
      <c r="C258" s="1850" t="s">
        <v>2868</v>
      </c>
      <c r="D258" s="1850" t="s">
        <v>2869</v>
      </c>
      <c r="E258" s="1850" t="s">
        <v>2870</v>
      </c>
      <c r="F258" s="1850" t="s">
        <v>2373</v>
      </c>
      <c r="G258" s="1850" t="s">
        <v>22</v>
      </c>
      <c r="H258" s="1850" t="s">
        <v>22</v>
      </c>
      <c r="I258" s="1850" t="s">
        <v>856</v>
      </c>
    </row>
    <row r="259" ht="11.25" customHeight="1">
      <c r="A259" s="1850" t="s">
        <v>2248</v>
      </c>
      <c r="B259" s="1850" t="s">
        <v>16</v>
      </c>
      <c r="C259" s="1850" t="s">
        <v>2871</v>
      </c>
      <c r="D259" s="1850" t="s">
        <v>2872</v>
      </c>
      <c r="E259" s="1850" t="s">
        <v>2873</v>
      </c>
      <c r="F259" s="1850" t="s">
        <v>2393</v>
      </c>
      <c r="G259" s="1850" t="s">
        <v>22</v>
      </c>
      <c r="H259" s="1850" t="s">
        <v>22</v>
      </c>
      <c r="I259" s="1850" t="s">
        <v>856</v>
      </c>
    </row>
    <row r="260" ht="11.25" customHeight="1">
      <c r="A260" s="1850" t="s">
        <v>2248</v>
      </c>
      <c r="B260" s="1850" t="s">
        <v>16</v>
      </c>
      <c r="C260" s="1850" t="s">
        <v>2526</v>
      </c>
      <c r="D260" s="1850" t="s">
        <v>2527</v>
      </c>
      <c r="E260" s="1850" t="s">
        <v>2528</v>
      </c>
      <c r="F260" s="1850" t="s">
        <v>2252</v>
      </c>
      <c r="G260" s="1850" t="s">
        <v>22</v>
      </c>
      <c r="H260" s="1850" t="s">
        <v>22</v>
      </c>
      <c r="I260" s="1850" t="s">
        <v>856</v>
      </c>
    </row>
    <row r="261" ht="11.25" customHeight="1">
      <c r="A261" s="1850" t="s">
        <v>2248</v>
      </c>
      <c r="B261" s="1850" t="s">
        <v>16</v>
      </c>
      <c r="C261" s="1850" t="s">
        <v>2874</v>
      </c>
      <c r="D261" s="1850" t="s">
        <v>2875</v>
      </c>
      <c r="E261" s="1850" t="s">
        <v>2876</v>
      </c>
      <c r="F261" s="1850" t="s">
        <v>2404</v>
      </c>
      <c r="G261" s="1850" t="s">
        <v>22</v>
      </c>
      <c r="H261" s="1850" t="s">
        <v>22</v>
      </c>
      <c r="I261" s="1850" t="s">
        <v>856</v>
      </c>
    </row>
    <row r="262" ht="11.25" customHeight="1">
      <c r="A262" s="1850" t="s">
        <v>2248</v>
      </c>
      <c r="B262" s="1850" t="s">
        <v>16</v>
      </c>
      <c r="C262" s="1850" t="s">
        <v>2539</v>
      </c>
      <c r="D262" s="1850" t="s">
        <v>2540</v>
      </c>
      <c r="E262" s="1850" t="s">
        <v>2541</v>
      </c>
      <c r="F262" s="1850" t="s">
        <v>2542</v>
      </c>
      <c r="G262" s="1850" t="s">
        <v>22</v>
      </c>
      <c r="H262" s="1850" t="s">
        <v>22</v>
      </c>
      <c r="I262" s="1850" t="s">
        <v>856</v>
      </c>
    </row>
    <row r="263" ht="11.25" customHeight="1">
      <c r="A263" s="1850" t="s">
        <v>2248</v>
      </c>
      <c r="B263" s="1850" t="s">
        <v>16</v>
      </c>
      <c r="C263" s="1850" t="s">
        <v>2877</v>
      </c>
      <c r="D263" s="1850" t="s">
        <v>2878</v>
      </c>
      <c r="E263" s="1850" t="s">
        <v>2879</v>
      </c>
      <c r="F263" s="1850" t="s">
        <v>2264</v>
      </c>
      <c r="G263" s="1850" t="s">
        <v>2880</v>
      </c>
      <c r="H263" s="1850" t="s">
        <v>22</v>
      </c>
      <c r="I263" s="1850" t="s">
        <v>856</v>
      </c>
    </row>
    <row r="264" ht="11.25" customHeight="1">
      <c r="A264" s="1850" t="s">
        <v>2248</v>
      </c>
      <c r="B264" s="1850" t="s">
        <v>16</v>
      </c>
      <c r="C264" s="1850" t="s">
        <v>2881</v>
      </c>
      <c r="D264" s="1850" t="s">
        <v>2882</v>
      </c>
      <c r="E264" s="1850" t="s">
        <v>2883</v>
      </c>
      <c r="F264" s="1850" t="s">
        <v>2312</v>
      </c>
      <c r="G264" s="1850" t="s">
        <v>22</v>
      </c>
      <c r="H264" s="1850" t="s">
        <v>22</v>
      </c>
      <c r="I264" s="1850" t="s">
        <v>856</v>
      </c>
    </row>
    <row r="265" ht="11.25" customHeight="1">
      <c r="A265" s="1850" t="s">
        <v>2248</v>
      </c>
      <c r="B265" s="1850" t="s">
        <v>16</v>
      </c>
      <c r="C265" s="1850" t="s">
        <v>2884</v>
      </c>
      <c r="D265" s="1850" t="s">
        <v>2885</v>
      </c>
      <c r="E265" s="1850" t="s">
        <v>2886</v>
      </c>
      <c r="F265" s="1850" t="s">
        <v>2388</v>
      </c>
      <c r="G265" s="1850" t="s">
        <v>22</v>
      </c>
      <c r="H265" s="1850" t="s">
        <v>22</v>
      </c>
      <c r="I265" s="1850" t="s">
        <v>856</v>
      </c>
    </row>
    <row r="266" ht="11.25" customHeight="1">
      <c r="A266" s="1850" t="s">
        <v>2248</v>
      </c>
      <c r="B266" s="1850" t="s">
        <v>16</v>
      </c>
      <c r="C266" s="1850" t="s">
        <v>2887</v>
      </c>
      <c r="D266" s="1850" t="s">
        <v>2888</v>
      </c>
      <c r="E266" s="1850" t="s">
        <v>2889</v>
      </c>
      <c r="F266" s="1850" t="s">
        <v>2368</v>
      </c>
      <c r="G266" s="1850" t="s">
        <v>22</v>
      </c>
      <c r="H266" s="1850" t="s">
        <v>22</v>
      </c>
      <c r="I266" s="1850" t="s">
        <v>856</v>
      </c>
    </row>
    <row r="267" ht="11.25" customHeight="1">
      <c r="A267" s="1850" t="s">
        <v>2248</v>
      </c>
      <c r="B267" s="1850" t="s">
        <v>16</v>
      </c>
      <c r="C267" s="1850" t="s">
        <v>2890</v>
      </c>
      <c r="D267" s="1850" t="s">
        <v>2891</v>
      </c>
      <c r="E267" s="1850" t="s">
        <v>2892</v>
      </c>
      <c r="F267" s="1850" t="s">
        <v>2252</v>
      </c>
      <c r="G267" s="1850" t="s">
        <v>22</v>
      </c>
      <c r="H267" s="1850" t="s">
        <v>22</v>
      </c>
      <c r="I267" s="1850" t="s">
        <v>856</v>
      </c>
    </row>
    <row r="268" ht="11.25" customHeight="1">
      <c r="A268" s="1850" t="s">
        <v>2248</v>
      </c>
      <c r="B268" s="1850" t="s">
        <v>16</v>
      </c>
      <c r="C268" s="1850" t="s">
        <v>2893</v>
      </c>
      <c r="D268" s="1850" t="s">
        <v>2894</v>
      </c>
      <c r="E268" s="1850" t="s">
        <v>2895</v>
      </c>
      <c r="F268" s="1850" t="s">
        <v>2546</v>
      </c>
      <c r="G268" s="1850" t="s">
        <v>22</v>
      </c>
      <c r="H268" s="1850" t="s">
        <v>22</v>
      </c>
      <c r="I268" s="1850" t="s">
        <v>856</v>
      </c>
    </row>
    <row r="269" ht="11.25" customHeight="1">
      <c r="A269" s="1850" t="s">
        <v>2248</v>
      </c>
      <c r="B269" s="1850" t="s">
        <v>16</v>
      </c>
      <c r="C269" s="1850" t="s">
        <v>2896</v>
      </c>
      <c r="D269" s="1850" t="s">
        <v>2897</v>
      </c>
      <c r="E269" s="1850" t="s">
        <v>2898</v>
      </c>
      <c r="F269" s="1850" t="s">
        <v>2708</v>
      </c>
      <c r="G269" s="1850" t="s">
        <v>2899</v>
      </c>
      <c r="H269" s="1850" t="s">
        <v>22</v>
      </c>
      <c r="I269" s="1850" t="s">
        <v>856</v>
      </c>
    </row>
    <row r="270" ht="11.25" customHeight="1">
      <c r="A270" s="1850" t="s">
        <v>2248</v>
      </c>
      <c r="B270" s="1850" t="s">
        <v>16</v>
      </c>
      <c r="C270" s="1850" t="s">
        <v>2900</v>
      </c>
      <c r="D270" s="1850" t="s">
        <v>2901</v>
      </c>
      <c r="E270" s="1850" t="s">
        <v>2902</v>
      </c>
      <c r="F270" s="1850" t="s">
        <v>2264</v>
      </c>
      <c r="G270" s="1850" t="s">
        <v>22</v>
      </c>
      <c r="H270" s="1850" t="s">
        <v>22</v>
      </c>
      <c r="I270" s="1850" t="s">
        <v>856</v>
      </c>
    </row>
    <row r="271" ht="11.25" customHeight="1">
      <c r="A271" s="1850" t="s">
        <v>2248</v>
      </c>
      <c r="B271" s="1850" t="s">
        <v>16</v>
      </c>
      <c r="C271" s="1850" t="s">
        <v>2903</v>
      </c>
      <c r="D271" s="1850" t="s">
        <v>2904</v>
      </c>
      <c r="E271" s="1850" t="s">
        <v>2905</v>
      </c>
      <c r="F271" s="1850" t="s">
        <v>2335</v>
      </c>
      <c r="G271" s="1850" t="s">
        <v>22</v>
      </c>
      <c r="H271" s="1850" t="s">
        <v>22</v>
      </c>
      <c r="I271" s="1850" t="s">
        <v>856</v>
      </c>
    </row>
    <row r="272" ht="11.25" customHeight="1">
      <c r="A272" s="1850" t="s">
        <v>2248</v>
      </c>
      <c r="B272" s="1850" t="s">
        <v>16</v>
      </c>
      <c r="C272" s="1850" t="s">
        <v>2906</v>
      </c>
      <c r="D272" s="1850" t="s">
        <v>2907</v>
      </c>
      <c r="E272" s="1850" t="s">
        <v>2908</v>
      </c>
      <c r="F272" s="1850" t="s">
        <v>2252</v>
      </c>
      <c r="G272" s="1850" t="s">
        <v>22</v>
      </c>
      <c r="H272" s="1850" t="s">
        <v>22</v>
      </c>
      <c r="I272" s="1850" t="s">
        <v>856</v>
      </c>
    </row>
    <row r="273" ht="11.25" customHeight="1">
      <c r="A273" s="1850" t="s">
        <v>2248</v>
      </c>
      <c r="B273" s="1850" t="s">
        <v>16</v>
      </c>
      <c r="C273" s="1850" t="s">
        <v>2909</v>
      </c>
      <c r="D273" s="1850" t="s">
        <v>2910</v>
      </c>
      <c r="E273" s="1850" t="s">
        <v>2911</v>
      </c>
      <c r="F273" s="1850" t="s">
        <v>2264</v>
      </c>
      <c r="G273" s="1850" t="s">
        <v>22</v>
      </c>
      <c r="H273" s="1850" t="s">
        <v>22</v>
      </c>
      <c r="I273" s="1850" t="s">
        <v>856</v>
      </c>
    </row>
    <row r="274" ht="11.25" customHeight="1">
      <c r="A274" s="1850" t="s">
        <v>2248</v>
      </c>
      <c r="B274" s="1850" t="s">
        <v>16</v>
      </c>
      <c r="C274" s="1850" t="s">
        <v>2912</v>
      </c>
      <c r="D274" s="1850" t="s">
        <v>2913</v>
      </c>
      <c r="E274" s="1850" t="s">
        <v>2914</v>
      </c>
      <c r="F274" s="1850" t="s">
        <v>2404</v>
      </c>
      <c r="G274" s="1850" t="s">
        <v>22</v>
      </c>
      <c r="H274" s="1850" t="s">
        <v>22</v>
      </c>
      <c r="I274" s="1850" t="s">
        <v>856</v>
      </c>
    </row>
    <row r="275" ht="11.25" customHeight="1">
      <c r="A275" s="1850" t="s">
        <v>2248</v>
      </c>
      <c r="B275" s="1850" t="s">
        <v>16</v>
      </c>
      <c r="C275" s="1850" t="s">
        <v>2915</v>
      </c>
      <c r="D275" s="1850" t="s">
        <v>2916</v>
      </c>
      <c r="E275" s="1850" t="s">
        <v>2917</v>
      </c>
      <c r="F275" s="1850" t="s">
        <v>2408</v>
      </c>
      <c r="G275" s="1850" t="s">
        <v>22</v>
      </c>
      <c r="H275" s="1850" t="s">
        <v>22</v>
      </c>
      <c r="I275" s="1850" t="s">
        <v>856</v>
      </c>
    </row>
    <row r="276" ht="11.25" customHeight="1">
      <c r="A276" s="1850" t="s">
        <v>2248</v>
      </c>
      <c r="B276" s="1850" t="s">
        <v>16</v>
      </c>
      <c r="C276" s="1850" t="s">
        <v>2918</v>
      </c>
      <c r="D276" s="1850" t="s">
        <v>2919</v>
      </c>
      <c r="E276" s="1850" t="s">
        <v>2920</v>
      </c>
      <c r="F276" s="1850" t="s">
        <v>2252</v>
      </c>
      <c r="G276" s="1850" t="s">
        <v>22</v>
      </c>
      <c r="H276" s="1850" t="s">
        <v>22</v>
      </c>
      <c r="I276" s="1850" t="s">
        <v>856</v>
      </c>
    </row>
    <row r="277" ht="11.25" customHeight="1">
      <c r="A277" s="1850" t="s">
        <v>2248</v>
      </c>
      <c r="B277" s="1850" t="s">
        <v>16</v>
      </c>
      <c r="C277" s="1850" t="s">
        <v>2581</v>
      </c>
      <c r="D277" s="1850" t="s">
        <v>2582</v>
      </c>
      <c r="E277" s="1850" t="s">
        <v>2425</v>
      </c>
      <c r="F277" s="1850" t="s">
        <v>2583</v>
      </c>
      <c r="G277" s="1850" t="s">
        <v>22</v>
      </c>
      <c r="H277" s="1850" t="s">
        <v>22</v>
      </c>
      <c r="I277" s="1850" t="s">
        <v>856</v>
      </c>
    </row>
    <row r="278" ht="11.25" customHeight="1">
      <c r="A278" s="1850" t="s">
        <v>2248</v>
      </c>
      <c r="B278" s="1850" t="s">
        <v>16</v>
      </c>
      <c r="C278" s="1850" t="s">
        <v>2921</v>
      </c>
      <c r="D278" s="1850" t="s">
        <v>2922</v>
      </c>
      <c r="E278" s="1850" t="s">
        <v>2923</v>
      </c>
      <c r="F278" s="1850" t="s">
        <v>2373</v>
      </c>
      <c r="G278" s="1850" t="s">
        <v>22</v>
      </c>
      <c r="H278" s="1850" t="s">
        <v>22</v>
      </c>
      <c r="I278" s="1850" t="s">
        <v>856</v>
      </c>
    </row>
    <row r="279" ht="11.25" customHeight="1">
      <c r="A279" s="1850" t="s">
        <v>2248</v>
      </c>
      <c r="B279" s="1850" t="s">
        <v>16</v>
      </c>
      <c r="C279" s="1850" t="s">
        <v>2924</v>
      </c>
      <c r="D279" s="1850" t="s">
        <v>2925</v>
      </c>
      <c r="E279" s="1850" t="s">
        <v>2926</v>
      </c>
      <c r="F279" s="1850" t="s">
        <v>2264</v>
      </c>
      <c r="G279" s="1850" t="s">
        <v>2927</v>
      </c>
      <c r="H279" s="1850" t="s">
        <v>22</v>
      </c>
      <c r="I279" s="1850" t="s">
        <v>856</v>
      </c>
    </row>
    <row r="280" ht="11.25" customHeight="1">
      <c r="A280" s="1850" t="s">
        <v>2248</v>
      </c>
      <c r="B280" s="1850" t="s">
        <v>16</v>
      </c>
      <c r="C280" s="1850" t="s">
        <v>2587</v>
      </c>
      <c r="D280" s="1850" t="s">
        <v>2588</v>
      </c>
      <c r="E280" s="1850" t="s">
        <v>2589</v>
      </c>
      <c r="F280" s="1850" t="s">
        <v>2590</v>
      </c>
      <c r="G280" s="1850" t="s">
        <v>22</v>
      </c>
      <c r="H280" s="1850" t="s">
        <v>22</v>
      </c>
      <c r="I280" s="1850" t="s">
        <v>856</v>
      </c>
    </row>
    <row r="281" ht="11.25" customHeight="1">
      <c r="A281" s="1850" t="s">
        <v>2248</v>
      </c>
      <c r="B281" s="1850" t="s">
        <v>16</v>
      </c>
      <c r="C281" s="1850" t="s">
        <v>2591</v>
      </c>
      <c r="D281" s="1850" t="s">
        <v>2592</v>
      </c>
      <c r="E281" s="1850" t="s">
        <v>2593</v>
      </c>
      <c r="F281" s="1850" t="s">
        <v>2335</v>
      </c>
      <c r="G281" s="1850" t="s">
        <v>22</v>
      </c>
      <c r="H281" s="1850" t="s">
        <v>22</v>
      </c>
      <c r="I281" s="1850" t="s">
        <v>856</v>
      </c>
    </row>
    <row r="282" ht="11.25" customHeight="1">
      <c r="A282" s="1850" t="s">
        <v>2248</v>
      </c>
      <c r="B282" s="1850" t="s">
        <v>16</v>
      </c>
      <c r="C282" s="1850" t="s">
        <v>2594</v>
      </c>
      <c r="D282" s="1850" t="s">
        <v>2595</v>
      </c>
      <c r="E282" s="1850" t="s">
        <v>2596</v>
      </c>
      <c r="F282" s="1850" t="s">
        <v>2359</v>
      </c>
      <c r="G282" s="1850" t="s">
        <v>22</v>
      </c>
      <c r="H282" s="1850" t="s">
        <v>22</v>
      </c>
      <c r="I282" s="1850" t="s">
        <v>856</v>
      </c>
    </row>
    <row r="283" ht="11.25" customHeight="1">
      <c r="A283" s="1850" t="s">
        <v>2248</v>
      </c>
      <c r="B283" s="1850" t="s">
        <v>16</v>
      </c>
      <c r="C283" s="1850" t="s">
        <v>2597</v>
      </c>
      <c r="D283" s="1850" t="s">
        <v>2598</v>
      </c>
      <c r="E283" s="1850" t="s">
        <v>2599</v>
      </c>
      <c r="F283" s="1850" t="s">
        <v>2252</v>
      </c>
      <c r="G283" s="1850" t="s">
        <v>22</v>
      </c>
      <c r="H283" s="1850" t="s">
        <v>22</v>
      </c>
      <c r="I283" s="1850" t="s">
        <v>856</v>
      </c>
    </row>
    <row r="284" ht="11.25" customHeight="1">
      <c r="A284" s="1850" t="s">
        <v>2248</v>
      </c>
      <c r="B284" s="1850" t="s">
        <v>16</v>
      </c>
      <c r="C284" s="1850" t="s">
        <v>2928</v>
      </c>
      <c r="D284" s="1850" t="s">
        <v>2929</v>
      </c>
      <c r="E284" s="1850" t="s">
        <v>2930</v>
      </c>
      <c r="F284" s="1850" t="s">
        <v>2289</v>
      </c>
      <c r="G284" s="1850" t="s">
        <v>2931</v>
      </c>
      <c r="H284" s="1850" t="s">
        <v>22</v>
      </c>
      <c r="I284" s="1850" t="s">
        <v>856</v>
      </c>
    </row>
    <row r="285" ht="11.25" customHeight="1">
      <c r="A285" s="1850" t="s">
        <v>2248</v>
      </c>
      <c r="B285" s="1850" t="s">
        <v>16</v>
      </c>
      <c r="C285" s="1850" t="s">
        <v>2600</v>
      </c>
      <c r="D285" s="1850" t="s">
        <v>2601</v>
      </c>
      <c r="E285" s="1850" t="s">
        <v>2602</v>
      </c>
      <c r="F285" s="1850" t="s">
        <v>2603</v>
      </c>
      <c r="G285" s="1850" t="s">
        <v>2604</v>
      </c>
      <c r="H285" s="1850" t="s">
        <v>22</v>
      </c>
      <c r="I285" s="1850" t="s">
        <v>856</v>
      </c>
    </row>
    <row r="286" ht="11.25" customHeight="1">
      <c r="A286" s="1850" t="s">
        <v>2248</v>
      </c>
      <c r="B286" s="1850" t="s">
        <v>16</v>
      </c>
      <c r="C286" s="1850" t="s">
        <v>2613</v>
      </c>
      <c r="D286" s="1850" t="s">
        <v>2614</v>
      </c>
      <c r="E286" s="1850" t="s">
        <v>2589</v>
      </c>
      <c r="F286" s="1850" t="s">
        <v>2615</v>
      </c>
      <c r="G286" s="1850" t="s">
        <v>22</v>
      </c>
      <c r="H286" s="1850" t="s">
        <v>22</v>
      </c>
      <c r="I286" s="1850" t="s">
        <v>856</v>
      </c>
    </row>
    <row r="287" ht="11.25" customHeight="1">
      <c r="A287" s="1850" t="s">
        <v>2248</v>
      </c>
      <c r="B287" s="1850" t="s">
        <v>16</v>
      </c>
      <c r="C287" s="1850" t="s">
        <v>2616</v>
      </c>
      <c r="D287" s="1850" t="s">
        <v>2617</v>
      </c>
      <c r="E287" s="1850" t="s">
        <v>2618</v>
      </c>
      <c r="F287" s="1850" t="s">
        <v>2619</v>
      </c>
      <c r="G287" s="1850" t="s">
        <v>2620</v>
      </c>
      <c r="H287" s="1850" t="s">
        <v>22</v>
      </c>
      <c r="I287" s="1850" t="s">
        <v>856</v>
      </c>
    </row>
    <row r="288" ht="11.25" customHeight="1">
      <c r="A288" s="1850" t="s">
        <v>2248</v>
      </c>
      <c r="B288" s="1850" t="s">
        <v>16</v>
      </c>
      <c r="C288" s="1850" t="s">
        <v>2621</v>
      </c>
      <c r="D288" s="1850" t="s">
        <v>2622</v>
      </c>
      <c r="E288" s="1850" t="s">
        <v>2623</v>
      </c>
      <c r="F288" s="1850" t="s">
        <v>2312</v>
      </c>
      <c r="G288" s="1850" t="s">
        <v>2624</v>
      </c>
      <c r="H288" s="1850" t="s">
        <v>22</v>
      </c>
      <c r="I288" s="1850" t="s">
        <v>856</v>
      </c>
    </row>
    <row r="289" ht="11.25" customHeight="1">
      <c r="A289" s="1850" t="s">
        <v>2248</v>
      </c>
      <c r="B289" s="1850" t="s">
        <v>16</v>
      </c>
      <c r="C289" s="1850" t="s">
        <v>2932</v>
      </c>
      <c r="D289" s="1850" t="s">
        <v>2933</v>
      </c>
      <c r="E289" s="1850" t="s">
        <v>2934</v>
      </c>
      <c r="F289" s="1850" t="s">
        <v>2542</v>
      </c>
      <c r="G289" s="1850" t="s">
        <v>22</v>
      </c>
      <c r="H289" s="1850" t="s">
        <v>22</v>
      </c>
      <c r="I289" s="1850" t="s">
        <v>856</v>
      </c>
    </row>
    <row r="290" ht="11.25" customHeight="1">
      <c r="A290" s="1850" t="s">
        <v>2248</v>
      </c>
      <c r="B290" s="1850" t="s">
        <v>16</v>
      </c>
      <c r="C290" s="1850" t="s">
        <v>2935</v>
      </c>
      <c r="D290" s="1850" t="s">
        <v>2936</v>
      </c>
      <c r="E290" s="1850" t="s">
        <v>2937</v>
      </c>
      <c r="F290" s="1850" t="s">
        <v>2542</v>
      </c>
      <c r="G290" s="1850" t="s">
        <v>22</v>
      </c>
      <c r="H290" s="1850" t="s">
        <v>22</v>
      </c>
      <c r="I290" s="1850" t="s">
        <v>856</v>
      </c>
    </row>
    <row r="291" ht="11.25" customHeight="1">
      <c r="A291" s="1850" t="s">
        <v>2248</v>
      </c>
      <c r="B291" s="1850" t="s">
        <v>16</v>
      </c>
      <c r="C291" s="1850" t="s">
        <v>2625</v>
      </c>
      <c r="D291" s="1850" t="s">
        <v>2626</v>
      </c>
      <c r="E291" s="1850" t="s">
        <v>2627</v>
      </c>
      <c r="F291" s="1850" t="s">
        <v>2628</v>
      </c>
      <c r="G291" s="1850" t="s">
        <v>22</v>
      </c>
      <c r="H291" s="1850" t="s">
        <v>22</v>
      </c>
      <c r="I291" s="1850" t="s">
        <v>856</v>
      </c>
    </row>
    <row r="292" ht="11.25" customHeight="1">
      <c r="A292" s="1850" t="s">
        <v>2248</v>
      </c>
      <c r="B292" s="1850" t="s">
        <v>16</v>
      </c>
      <c r="C292" s="1850" t="s">
        <v>13</v>
      </c>
      <c r="D292" s="1850" t="s">
        <v>46</v>
      </c>
      <c r="E292" s="1850" t="s">
        <v>49</v>
      </c>
      <c r="F292" s="1850" t="s">
        <v>51</v>
      </c>
      <c r="G292" s="1850" t="s">
        <v>2629</v>
      </c>
      <c r="H292" s="1850" t="s">
        <v>22</v>
      </c>
      <c r="I292" s="1850" t="s">
        <v>856</v>
      </c>
    </row>
    <row r="293" ht="11.25" customHeight="1">
      <c r="A293" s="1850" t="s">
        <v>2248</v>
      </c>
      <c r="B293" s="1850" t="s">
        <v>16</v>
      </c>
      <c r="C293" s="1850" t="s">
        <v>2630</v>
      </c>
      <c r="D293" s="1850" t="s">
        <v>2631</v>
      </c>
      <c r="E293" s="1850" t="s">
        <v>2632</v>
      </c>
      <c r="F293" s="1850" t="s">
        <v>2633</v>
      </c>
      <c r="G293" s="1850" t="s">
        <v>22</v>
      </c>
      <c r="H293" s="1850" t="s">
        <v>22</v>
      </c>
      <c r="I293" s="1850" t="s">
        <v>856</v>
      </c>
    </row>
    <row r="294" ht="11.25" customHeight="1">
      <c r="A294" s="1850" t="s">
        <v>2248</v>
      </c>
      <c r="B294" s="1850" t="s">
        <v>16</v>
      </c>
      <c r="C294" s="1850" t="s">
        <v>2257</v>
      </c>
      <c r="D294" s="1850" t="s">
        <v>2258</v>
      </c>
      <c r="E294" s="1850" t="s">
        <v>2259</v>
      </c>
      <c r="F294" s="1850" t="s">
        <v>2260</v>
      </c>
      <c r="G294" s="1850" t="s">
        <v>22</v>
      </c>
      <c r="H294" s="1850" t="s">
        <v>22</v>
      </c>
      <c r="I294" s="1850" t="s">
        <v>909</v>
      </c>
    </row>
    <row r="295" ht="11.25" customHeight="1">
      <c r="A295" s="1850" t="s">
        <v>2248</v>
      </c>
      <c r="B295" s="1850" t="s">
        <v>16</v>
      </c>
      <c r="C295" s="1850" t="s">
        <v>2938</v>
      </c>
      <c r="D295" s="1850" t="s">
        <v>2939</v>
      </c>
      <c r="E295" s="1850" t="s">
        <v>2940</v>
      </c>
      <c r="F295" s="1850" t="s">
        <v>2485</v>
      </c>
      <c r="G295" s="1850" t="s">
        <v>22</v>
      </c>
      <c r="H295" s="1850" t="s">
        <v>22</v>
      </c>
      <c r="I295" s="1850" t="s">
        <v>909</v>
      </c>
    </row>
    <row r="296" ht="11.25" customHeight="1">
      <c r="A296" s="1850" t="s">
        <v>2248</v>
      </c>
      <c r="B296" s="1850" t="s">
        <v>16</v>
      </c>
      <c r="C296" s="1850" t="s">
        <v>2941</v>
      </c>
      <c r="D296" s="1850" t="s">
        <v>2942</v>
      </c>
      <c r="E296" s="1850" t="s">
        <v>2943</v>
      </c>
      <c r="F296" s="1850" t="s">
        <v>2264</v>
      </c>
      <c r="G296" s="1850" t="s">
        <v>2944</v>
      </c>
      <c r="H296" s="1850" t="s">
        <v>22</v>
      </c>
      <c r="I296" s="1850" t="s">
        <v>909</v>
      </c>
    </row>
    <row r="297" ht="11.25" customHeight="1">
      <c r="A297" s="1850" t="s">
        <v>2248</v>
      </c>
      <c r="B297" s="1850" t="s">
        <v>16</v>
      </c>
      <c r="C297" s="1850" t="s">
        <v>2265</v>
      </c>
      <c r="D297" s="1850" t="s">
        <v>2266</v>
      </c>
      <c r="E297" s="1850" t="s">
        <v>2267</v>
      </c>
      <c r="F297" s="1850" t="s">
        <v>2268</v>
      </c>
      <c r="G297" s="1850" t="s">
        <v>2269</v>
      </c>
      <c r="H297" s="1850" t="s">
        <v>22</v>
      </c>
      <c r="I297" s="1850" t="s">
        <v>909</v>
      </c>
    </row>
    <row r="298" ht="11.25" customHeight="1">
      <c r="A298" s="1850" t="s">
        <v>2248</v>
      </c>
      <c r="B298" s="1850" t="s">
        <v>16</v>
      </c>
      <c r="C298" s="1850" t="s">
        <v>2270</v>
      </c>
      <c r="D298" s="1850" t="s">
        <v>2271</v>
      </c>
      <c r="E298" s="1850" t="s">
        <v>2272</v>
      </c>
      <c r="F298" s="1850" t="s">
        <v>2264</v>
      </c>
      <c r="G298" s="1850" t="s">
        <v>22</v>
      </c>
      <c r="H298" s="1850" t="s">
        <v>22</v>
      </c>
      <c r="I298" s="1850" t="s">
        <v>909</v>
      </c>
    </row>
    <row r="299" ht="11.25" customHeight="1">
      <c r="A299" s="1850" t="s">
        <v>2248</v>
      </c>
      <c r="B299" s="1850" t="s">
        <v>16</v>
      </c>
      <c r="C299" s="1850" t="s">
        <v>2945</v>
      </c>
      <c r="D299" s="1850" t="s">
        <v>2946</v>
      </c>
      <c r="E299" s="1850" t="s">
        <v>2947</v>
      </c>
      <c r="F299" s="1850" t="s">
        <v>2289</v>
      </c>
      <c r="G299" s="1850" t="s">
        <v>22</v>
      </c>
      <c r="H299" s="1850" t="s">
        <v>22</v>
      </c>
      <c r="I299" s="1850" t="s">
        <v>909</v>
      </c>
    </row>
    <row r="300" ht="11.25" customHeight="1">
      <c r="A300" s="1850" t="s">
        <v>2248</v>
      </c>
      <c r="B300" s="1850" t="s">
        <v>16</v>
      </c>
      <c r="C300" s="1850" t="s">
        <v>2643</v>
      </c>
      <c r="D300" s="1850" t="s">
        <v>2644</v>
      </c>
      <c r="E300" s="1850" t="s">
        <v>2645</v>
      </c>
      <c r="F300" s="1850" t="s">
        <v>2397</v>
      </c>
      <c r="G300" s="1850" t="s">
        <v>22</v>
      </c>
      <c r="H300" s="1850" t="s">
        <v>22</v>
      </c>
      <c r="I300" s="1850" t="s">
        <v>909</v>
      </c>
    </row>
    <row r="301" ht="11.25" customHeight="1">
      <c r="A301" s="1850" t="s">
        <v>2248</v>
      </c>
      <c r="B301" s="1850" t="s">
        <v>16</v>
      </c>
      <c r="C301" s="1850" t="s">
        <v>22</v>
      </c>
      <c r="D301" s="1850" t="s">
        <v>2297</v>
      </c>
      <c r="E301" s="1850" t="s">
        <v>2298</v>
      </c>
      <c r="F301" s="1850" t="s">
        <v>2264</v>
      </c>
      <c r="G301" s="1850" t="s">
        <v>22</v>
      </c>
      <c r="H301" s="1850" t="s">
        <v>22</v>
      </c>
      <c r="I301" s="1850" t="s">
        <v>909</v>
      </c>
    </row>
    <row r="302" ht="11.25" customHeight="1">
      <c r="A302" s="1850" t="s">
        <v>2248</v>
      </c>
      <c r="B302" s="1850" t="s">
        <v>16</v>
      </c>
      <c r="C302" s="1850" t="s">
        <v>2299</v>
      </c>
      <c r="D302" s="1850" t="s">
        <v>2300</v>
      </c>
      <c r="E302" s="1850" t="s">
        <v>2301</v>
      </c>
      <c r="F302" s="1850" t="s">
        <v>2302</v>
      </c>
      <c r="G302" s="1850" t="s">
        <v>22</v>
      </c>
      <c r="H302" s="1850" t="s">
        <v>22</v>
      </c>
      <c r="I302" s="1850" t="s">
        <v>909</v>
      </c>
    </row>
    <row r="303" ht="11.25" customHeight="1">
      <c r="A303" s="1850" t="s">
        <v>2248</v>
      </c>
      <c r="B303" s="1850" t="s">
        <v>16</v>
      </c>
      <c r="C303" s="1850" t="s">
        <v>2662</v>
      </c>
      <c r="D303" s="1850" t="s">
        <v>2663</v>
      </c>
      <c r="E303" s="1850" t="s">
        <v>2664</v>
      </c>
      <c r="F303" s="1850" t="s">
        <v>2289</v>
      </c>
      <c r="G303" s="1850" t="s">
        <v>22</v>
      </c>
      <c r="H303" s="1850" t="s">
        <v>2665</v>
      </c>
      <c r="I303" s="1850" t="s">
        <v>909</v>
      </c>
    </row>
    <row r="304" ht="11.25" customHeight="1">
      <c r="A304" s="1850" t="s">
        <v>2248</v>
      </c>
      <c r="B304" s="1850" t="s">
        <v>16</v>
      </c>
      <c r="C304" s="1850" t="s">
        <v>2309</v>
      </c>
      <c r="D304" s="1850" t="s">
        <v>2310</v>
      </c>
      <c r="E304" s="1850" t="s">
        <v>2311</v>
      </c>
      <c r="F304" s="1850" t="s">
        <v>2312</v>
      </c>
      <c r="G304" s="1850" t="s">
        <v>22</v>
      </c>
      <c r="H304" s="1850" t="s">
        <v>22</v>
      </c>
      <c r="I304" s="1850" t="s">
        <v>909</v>
      </c>
    </row>
    <row r="305" ht="11.25" customHeight="1">
      <c r="A305" s="1850" t="s">
        <v>2248</v>
      </c>
      <c r="B305" s="1850" t="s">
        <v>16</v>
      </c>
      <c r="C305" s="1850" t="s">
        <v>2678</v>
      </c>
      <c r="D305" s="1850" t="s">
        <v>2679</v>
      </c>
      <c r="E305" s="1850" t="s">
        <v>2680</v>
      </c>
      <c r="F305" s="1850" t="s">
        <v>2681</v>
      </c>
      <c r="G305" s="1850" t="s">
        <v>2682</v>
      </c>
      <c r="H305" s="1850" t="s">
        <v>22</v>
      </c>
      <c r="I305" s="1850" t="s">
        <v>909</v>
      </c>
    </row>
    <row r="306" ht="11.25" customHeight="1">
      <c r="A306" s="1850" t="s">
        <v>2248</v>
      </c>
      <c r="B306" s="1850" t="s">
        <v>16</v>
      </c>
      <c r="C306" s="1850" t="s">
        <v>2948</v>
      </c>
      <c r="D306" s="1850" t="s">
        <v>2949</v>
      </c>
      <c r="E306" s="1850" t="s">
        <v>2950</v>
      </c>
      <c r="F306" s="1850" t="s">
        <v>2603</v>
      </c>
      <c r="G306" s="1850" t="s">
        <v>2951</v>
      </c>
      <c r="H306" s="1850" t="s">
        <v>2695</v>
      </c>
      <c r="I306" s="1850" t="s">
        <v>909</v>
      </c>
    </row>
    <row r="307" ht="11.25" customHeight="1">
      <c r="A307" s="1850" t="s">
        <v>2248</v>
      </c>
      <c r="B307" s="1850" t="s">
        <v>16</v>
      </c>
      <c r="C307" s="1850" t="s">
        <v>2683</v>
      </c>
      <c r="D307" s="1850" t="s">
        <v>2684</v>
      </c>
      <c r="E307" s="1850" t="s">
        <v>2685</v>
      </c>
      <c r="F307" s="1850" t="s">
        <v>2388</v>
      </c>
      <c r="G307" s="1850" t="s">
        <v>2686</v>
      </c>
      <c r="H307" s="1850" t="s">
        <v>22</v>
      </c>
      <c r="I307" s="1850" t="s">
        <v>909</v>
      </c>
    </row>
    <row r="308" ht="11.25" customHeight="1">
      <c r="A308" s="1850" t="s">
        <v>2248</v>
      </c>
      <c r="B308" s="1850" t="s">
        <v>16</v>
      </c>
      <c r="C308" s="1850" t="s">
        <v>2313</v>
      </c>
      <c r="D308" s="1850" t="s">
        <v>2314</v>
      </c>
      <c r="E308" s="1850" t="s">
        <v>2315</v>
      </c>
      <c r="F308" s="1850" t="s">
        <v>2316</v>
      </c>
      <c r="G308" s="1850" t="s">
        <v>2317</v>
      </c>
      <c r="H308" s="1850" t="s">
        <v>22</v>
      </c>
      <c r="I308" s="1850" t="s">
        <v>909</v>
      </c>
    </row>
    <row r="309" ht="11.25" customHeight="1">
      <c r="A309" s="1850" t="s">
        <v>2248</v>
      </c>
      <c r="B309" s="1850" t="s">
        <v>16</v>
      </c>
      <c r="C309" s="1850" t="s">
        <v>2696</v>
      </c>
      <c r="D309" s="1850" t="s">
        <v>2697</v>
      </c>
      <c r="E309" s="1850" t="s">
        <v>2698</v>
      </c>
      <c r="F309" s="1850" t="s">
        <v>2699</v>
      </c>
      <c r="G309" s="1850" t="s">
        <v>2700</v>
      </c>
      <c r="H309" s="1850" t="s">
        <v>22</v>
      </c>
      <c r="I309" s="1850" t="s">
        <v>909</v>
      </c>
    </row>
    <row r="310" ht="11.25" customHeight="1">
      <c r="A310" s="1850" t="s">
        <v>2248</v>
      </c>
      <c r="B310" s="1850" t="s">
        <v>16</v>
      </c>
      <c r="C310" s="1850" t="s">
        <v>2701</v>
      </c>
      <c r="D310" s="1850" t="s">
        <v>2702</v>
      </c>
      <c r="E310" s="1850" t="s">
        <v>2703</v>
      </c>
      <c r="F310" s="1850" t="s">
        <v>2542</v>
      </c>
      <c r="G310" s="1850" t="s">
        <v>2704</v>
      </c>
      <c r="H310" s="1850" t="s">
        <v>22</v>
      </c>
      <c r="I310" s="1850" t="s">
        <v>909</v>
      </c>
    </row>
    <row r="311" ht="11.25" customHeight="1">
      <c r="A311" s="1850" t="s">
        <v>2248</v>
      </c>
      <c r="B311" s="1850" t="s">
        <v>16</v>
      </c>
      <c r="C311" s="1850" t="s">
        <v>2318</v>
      </c>
      <c r="D311" s="1850" t="s">
        <v>2319</v>
      </c>
      <c r="E311" s="1850" t="s">
        <v>2320</v>
      </c>
      <c r="F311" s="1850" t="s">
        <v>2321</v>
      </c>
      <c r="G311" s="1850" t="s">
        <v>2322</v>
      </c>
      <c r="H311" s="1850" t="s">
        <v>22</v>
      </c>
      <c r="I311" s="1850" t="s">
        <v>909</v>
      </c>
    </row>
    <row r="312" ht="11.25" customHeight="1">
      <c r="A312" s="1850" t="s">
        <v>2248</v>
      </c>
      <c r="B312" s="1850" t="s">
        <v>16</v>
      </c>
      <c r="C312" s="1850" t="s">
        <v>2327</v>
      </c>
      <c r="D312" s="1850" t="s">
        <v>2328</v>
      </c>
      <c r="E312" s="1850" t="s">
        <v>2329</v>
      </c>
      <c r="F312" s="1850" t="s">
        <v>2330</v>
      </c>
      <c r="G312" s="1850" t="s">
        <v>2331</v>
      </c>
      <c r="H312" s="1850" t="s">
        <v>22</v>
      </c>
      <c r="I312" s="1850" t="s">
        <v>909</v>
      </c>
    </row>
    <row r="313" ht="11.25" customHeight="1">
      <c r="A313" s="1850" t="s">
        <v>2248</v>
      </c>
      <c r="B313" s="1850" t="s">
        <v>16</v>
      </c>
      <c r="C313" s="1850" t="s">
        <v>2332</v>
      </c>
      <c r="D313" s="1850" t="s">
        <v>2333</v>
      </c>
      <c r="E313" s="1850" t="s">
        <v>2334</v>
      </c>
      <c r="F313" s="1850" t="s">
        <v>2335</v>
      </c>
      <c r="G313" s="1850" t="s">
        <v>2336</v>
      </c>
      <c r="H313" s="1850" t="s">
        <v>22</v>
      </c>
      <c r="I313" s="1850" t="s">
        <v>909</v>
      </c>
    </row>
    <row r="314" ht="11.25" customHeight="1">
      <c r="A314" s="1850" t="s">
        <v>2248</v>
      </c>
      <c r="B314" s="1850" t="s">
        <v>16</v>
      </c>
      <c r="C314" s="1850" t="s">
        <v>2337</v>
      </c>
      <c r="D314" s="1850" t="s">
        <v>2338</v>
      </c>
      <c r="E314" s="1850" t="s">
        <v>2339</v>
      </c>
      <c r="F314" s="1850" t="s">
        <v>2340</v>
      </c>
      <c r="G314" s="1850" t="s">
        <v>2341</v>
      </c>
      <c r="H314" s="1850" t="s">
        <v>22</v>
      </c>
      <c r="I314" s="1850" t="s">
        <v>909</v>
      </c>
    </row>
    <row r="315" ht="11.25" customHeight="1">
      <c r="A315" s="1850" t="s">
        <v>2248</v>
      </c>
      <c r="B315" s="1850" t="s">
        <v>16</v>
      </c>
      <c r="C315" s="1850" t="s">
        <v>2710</v>
      </c>
      <c r="D315" s="1850" t="s">
        <v>2711</v>
      </c>
      <c r="E315" s="1850" t="s">
        <v>2712</v>
      </c>
      <c r="F315" s="1850" t="s">
        <v>2388</v>
      </c>
      <c r="G315" s="1850" t="s">
        <v>22</v>
      </c>
      <c r="H315" s="1850" t="s">
        <v>22</v>
      </c>
      <c r="I315" s="1850" t="s">
        <v>909</v>
      </c>
    </row>
    <row r="316" ht="11.25" customHeight="1">
      <c r="A316" s="1850" t="s">
        <v>2248</v>
      </c>
      <c r="B316" s="1850" t="s">
        <v>16</v>
      </c>
      <c r="C316" s="1850" t="s">
        <v>2342</v>
      </c>
      <c r="D316" s="1850" t="s">
        <v>2343</v>
      </c>
      <c r="E316" s="1850" t="s">
        <v>2344</v>
      </c>
      <c r="F316" s="1850" t="s">
        <v>2268</v>
      </c>
      <c r="G316" s="1850" t="s">
        <v>2345</v>
      </c>
      <c r="H316" s="1850" t="s">
        <v>22</v>
      </c>
      <c r="I316" s="1850" t="s">
        <v>909</v>
      </c>
    </row>
    <row r="317" ht="11.25" customHeight="1">
      <c r="A317" s="1850" t="s">
        <v>2248</v>
      </c>
      <c r="B317" s="1850" t="s">
        <v>16</v>
      </c>
      <c r="C317" s="1850" t="s">
        <v>2713</v>
      </c>
      <c r="D317" s="1850" t="s">
        <v>2714</v>
      </c>
      <c r="E317" s="1850" t="s">
        <v>2715</v>
      </c>
      <c r="F317" s="1850" t="s">
        <v>2485</v>
      </c>
      <c r="G317" s="1850" t="s">
        <v>2716</v>
      </c>
      <c r="H317" s="1850" t="s">
        <v>22</v>
      </c>
      <c r="I317" s="1850" t="s">
        <v>909</v>
      </c>
    </row>
    <row r="318" ht="11.25" customHeight="1">
      <c r="A318" s="1850" t="s">
        <v>2248</v>
      </c>
      <c r="B318" s="1850" t="s">
        <v>16</v>
      </c>
      <c r="C318" s="1850" t="s">
        <v>2346</v>
      </c>
      <c r="D318" s="1850" t="s">
        <v>2347</v>
      </c>
      <c r="E318" s="1850" t="s">
        <v>2348</v>
      </c>
      <c r="F318" s="1850" t="s">
        <v>2349</v>
      </c>
      <c r="G318" s="1850" t="s">
        <v>2350</v>
      </c>
      <c r="H318" s="1850" t="s">
        <v>22</v>
      </c>
      <c r="I318" s="1850" t="s">
        <v>909</v>
      </c>
    </row>
    <row r="319" ht="11.25" customHeight="1">
      <c r="A319" s="1850" t="s">
        <v>2248</v>
      </c>
      <c r="B319" s="1850" t="s">
        <v>16</v>
      </c>
      <c r="C319" s="1850" t="s">
        <v>2717</v>
      </c>
      <c r="D319" s="1850" t="s">
        <v>2718</v>
      </c>
      <c r="E319" s="1850" t="s">
        <v>2719</v>
      </c>
      <c r="F319" s="1850" t="s">
        <v>2354</v>
      </c>
      <c r="G319" s="1850" t="s">
        <v>2720</v>
      </c>
      <c r="H319" s="1850" t="s">
        <v>22</v>
      </c>
      <c r="I319" s="1850" t="s">
        <v>909</v>
      </c>
    </row>
    <row r="320" ht="11.25" customHeight="1">
      <c r="A320" s="1850" t="s">
        <v>2248</v>
      </c>
      <c r="B320" s="1850" t="s">
        <v>16</v>
      </c>
      <c r="C320" s="1850" t="s">
        <v>2721</v>
      </c>
      <c r="D320" s="1850" t="s">
        <v>2722</v>
      </c>
      <c r="E320" s="1850" t="s">
        <v>2723</v>
      </c>
      <c r="F320" s="1850" t="s">
        <v>2354</v>
      </c>
      <c r="G320" s="1850" t="s">
        <v>22</v>
      </c>
      <c r="H320" s="1850" t="s">
        <v>22</v>
      </c>
      <c r="I320" s="1850" t="s">
        <v>909</v>
      </c>
    </row>
    <row r="321" ht="11.25" customHeight="1">
      <c r="A321" s="1850" t="s">
        <v>2248</v>
      </c>
      <c r="B321" s="1850" t="s">
        <v>16</v>
      </c>
      <c r="C321" s="1850" t="s">
        <v>2351</v>
      </c>
      <c r="D321" s="1850" t="s">
        <v>2352</v>
      </c>
      <c r="E321" s="1850" t="s">
        <v>2353</v>
      </c>
      <c r="F321" s="1850" t="s">
        <v>2354</v>
      </c>
      <c r="G321" s="1850" t="s">
        <v>2355</v>
      </c>
      <c r="H321" s="1850" t="s">
        <v>22</v>
      </c>
      <c r="I321" s="1850" t="s">
        <v>909</v>
      </c>
    </row>
    <row r="322" ht="11.25" customHeight="1">
      <c r="A322" s="1850" t="s">
        <v>2248</v>
      </c>
      <c r="B322" s="1850" t="s">
        <v>16</v>
      </c>
      <c r="C322" s="1850" t="s">
        <v>2356</v>
      </c>
      <c r="D322" s="1850" t="s">
        <v>2357</v>
      </c>
      <c r="E322" s="1850" t="s">
        <v>2358</v>
      </c>
      <c r="F322" s="1850" t="s">
        <v>2359</v>
      </c>
      <c r="G322" s="1850" t="s">
        <v>22</v>
      </c>
      <c r="H322" s="1850" t="s">
        <v>22</v>
      </c>
      <c r="I322" s="1850" t="s">
        <v>909</v>
      </c>
    </row>
    <row r="323" ht="11.25" customHeight="1">
      <c r="A323" s="1850" t="s">
        <v>2248</v>
      </c>
      <c r="B323" s="1850" t="s">
        <v>16</v>
      </c>
      <c r="C323" s="1850" t="s">
        <v>2365</v>
      </c>
      <c r="D323" s="1850" t="s">
        <v>2366</v>
      </c>
      <c r="E323" s="1850" t="s">
        <v>2367</v>
      </c>
      <c r="F323" s="1850" t="s">
        <v>2368</v>
      </c>
      <c r="G323" s="1850" t="s">
        <v>2369</v>
      </c>
      <c r="H323" s="1850" t="s">
        <v>22</v>
      </c>
      <c r="I323" s="1850" t="s">
        <v>909</v>
      </c>
    </row>
    <row r="324" ht="11.25" customHeight="1">
      <c r="A324" s="1850" t="s">
        <v>2248</v>
      </c>
      <c r="B324" s="1850" t="s">
        <v>16</v>
      </c>
      <c r="C324" s="1850" t="s">
        <v>2724</v>
      </c>
      <c r="D324" s="1850" t="s">
        <v>2725</v>
      </c>
      <c r="E324" s="1850" t="s">
        <v>2726</v>
      </c>
      <c r="F324" s="1850" t="s">
        <v>2603</v>
      </c>
      <c r="G324" s="1850" t="s">
        <v>2727</v>
      </c>
      <c r="H324" s="1850" t="s">
        <v>22</v>
      </c>
      <c r="I324" s="1850" t="s">
        <v>909</v>
      </c>
    </row>
    <row r="325" ht="11.25" customHeight="1">
      <c r="A325" s="1850" t="s">
        <v>2248</v>
      </c>
      <c r="B325" s="1850" t="s">
        <v>16</v>
      </c>
      <c r="C325" s="1850" t="s">
        <v>2375</v>
      </c>
      <c r="D325" s="1850" t="s">
        <v>2376</v>
      </c>
      <c r="E325" s="1850" t="s">
        <v>2377</v>
      </c>
      <c r="F325" s="1850" t="s">
        <v>2378</v>
      </c>
      <c r="G325" s="1850" t="s">
        <v>2379</v>
      </c>
      <c r="H325" s="1850" t="s">
        <v>22</v>
      </c>
      <c r="I325" s="1850" t="s">
        <v>909</v>
      </c>
    </row>
    <row r="326" ht="11.25" customHeight="1">
      <c r="A326" s="1850" t="s">
        <v>2248</v>
      </c>
      <c r="B326" s="1850" t="s">
        <v>16</v>
      </c>
      <c r="C326" s="1850" t="s">
        <v>2728</v>
      </c>
      <c r="D326" s="1850" t="s">
        <v>2729</v>
      </c>
      <c r="E326" s="1850" t="s">
        <v>2730</v>
      </c>
      <c r="F326" s="1850" t="s">
        <v>2413</v>
      </c>
      <c r="G326" s="1850" t="s">
        <v>2731</v>
      </c>
      <c r="H326" s="1850" t="s">
        <v>22</v>
      </c>
      <c r="I326" s="1850" t="s">
        <v>909</v>
      </c>
    </row>
    <row r="327" ht="11.25" customHeight="1">
      <c r="A327" s="1850" t="s">
        <v>2248</v>
      </c>
      <c r="B327" s="1850" t="s">
        <v>16</v>
      </c>
      <c r="C327" s="1850" t="s">
        <v>2732</v>
      </c>
      <c r="D327" s="1850" t="s">
        <v>2733</v>
      </c>
      <c r="E327" s="1850" t="s">
        <v>2734</v>
      </c>
      <c r="F327" s="1850" t="s">
        <v>2603</v>
      </c>
      <c r="G327" s="1850" t="s">
        <v>2735</v>
      </c>
      <c r="H327" s="1850" t="s">
        <v>22</v>
      </c>
      <c r="I327" s="1850" t="s">
        <v>909</v>
      </c>
    </row>
    <row r="328" ht="11.25" customHeight="1">
      <c r="A328" s="1850" t="s">
        <v>2248</v>
      </c>
      <c r="B328" s="1850" t="s">
        <v>16</v>
      </c>
      <c r="C328" s="1850" t="s">
        <v>2736</v>
      </c>
      <c r="D328" s="1850" t="s">
        <v>2737</v>
      </c>
      <c r="E328" s="1850" t="s">
        <v>2738</v>
      </c>
      <c r="F328" s="1850" t="s">
        <v>2340</v>
      </c>
      <c r="G328" s="1850" t="s">
        <v>2739</v>
      </c>
      <c r="H328" s="1850" t="s">
        <v>22</v>
      </c>
      <c r="I328" s="1850" t="s">
        <v>909</v>
      </c>
    </row>
    <row r="329" ht="11.25" customHeight="1">
      <c r="A329" s="1850" t="s">
        <v>2248</v>
      </c>
      <c r="B329" s="1850" t="s">
        <v>16</v>
      </c>
      <c r="C329" s="1850" t="s">
        <v>2740</v>
      </c>
      <c r="D329" s="1850" t="s">
        <v>2741</v>
      </c>
      <c r="E329" s="1850" t="s">
        <v>2742</v>
      </c>
      <c r="F329" s="1850" t="s">
        <v>2349</v>
      </c>
      <c r="G329" s="1850" t="s">
        <v>2743</v>
      </c>
      <c r="H329" s="1850" t="s">
        <v>22</v>
      </c>
      <c r="I329" s="1850" t="s">
        <v>909</v>
      </c>
    </row>
    <row r="330" ht="11.25" customHeight="1">
      <c r="A330" s="1850" t="s">
        <v>2248</v>
      </c>
      <c r="B330" s="1850" t="s">
        <v>16</v>
      </c>
      <c r="C330" s="1850" t="s">
        <v>2385</v>
      </c>
      <c r="D330" s="1850" t="s">
        <v>2386</v>
      </c>
      <c r="E330" s="1850" t="s">
        <v>2387</v>
      </c>
      <c r="F330" s="1850" t="s">
        <v>2388</v>
      </c>
      <c r="G330" s="1850" t="s">
        <v>2389</v>
      </c>
      <c r="H330" s="1850" t="s">
        <v>22</v>
      </c>
      <c r="I330" s="1850" t="s">
        <v>909</v>
      </c>
    </row>
    <row r="331" ht="11.25" customHeight="1">
      <c r="A331" s="1850" t="s">
        <v>2248</v>
      </c>
      <c r="B331" s="1850" t="s">
        <v>16</v>
      </c>
      <c r="C331" s="1850" t="s">
        <v>2394</v>
      </c>
      <c r="D331" s="1850" t="s">
        <v>2395</v>
      </c>
      <c r="E331" s="1850" t="s">
        <v>2396</v>
      </c>
      <c r="F331" s="1850" t="s">
        <v>2397</v>
      </c>
      <c r="G331" s="1850" t="s">
        <v>22</v>
      </c>
      <c r="H331" s="1850" t="s">
        <v>22</v>
      </c>
      <c r="I331" s="1850" t="s">
        <v>909</v>
      </c>
    </row>
    <row r="332" ht="11.25" customHeight="1">
      <c r="A332" s="1850" t="s">
        <v>2248</v>
      </c>
      <c r="B332" s="1850" t="s">
        <v>16</v>
      </c>
      <c r="C332" s="1850" t="s">
        <v>2744</v>
      </c>
      <c r="D332" s="1850" t="s">
        <v>2745</v>
      </c>
      <c r="E332" s="1850" t="s">
        <v>2746</v>
      </c>
      <c r="F332" s="1850" t="s">
        <v>2546</v>
      </c>
      <c r="G332" s="1850" t="s">
        <v>2747</v>
      </c>
      <c r="H332" s="1850" t="s">
        <v>22</v>
      </c>
      <c r="I332" s="1850" t="s">
        <v>909</v>
      </c>
    </row>
    <row r="333" ht="11.25" customHeight="1">
      <c r="A333" s="1850" t="s">
        <v>2248</v>
      </c>
      <c r="B333" s="1850" t="s">
        <v>16</v>
      </c>
      <c r="C333" s="1850" t="s">
        <v>2398</v>
      </c>
      <c r="D333" s="1850" t="s">
        <v>2399</v>
      </c>
      <c r="E333" s="1850" t="s">
        <v>2400</v>
      </c>
      <c r="F333" s="1850" t="s">
        <v>2359</v>
      </c>
      <c r="G333" s="1850" t="s">
        <v>22</v>
      </c>
      <c r="H333" s="1850" t="s">
        <v>22</v>
      </c>
      <c r="I333" s="1850" t="s">
        <v>909</v>
      </c>
    </row>
    <row r="334" ht="11.25" customHeight="1">
      <c r="A334" s="1850" t="s">
        <v>2248</v>
      </c>
      <c r="B334" s="1850" t="s">
        <v>16</v>
      </c>
      <c r="C334" s="1850" t="s">
        <v>2401</v>
      </c>
      <c r="D334" s="1850" t="s">
        <v>2402</v>
      </c>
      <c r="E334" s="1850" t="s">
        <v>2403</v>
      </c>
      <c r="F334" s="1850" t="s">
        <v>2404</v>
      </c>
      <c r="G334" s="1850" t="s">
        <v>2331</v>
      </c>
      <c r="H334" s="1850" t="s">
        <v>22</v>
      </c>
      <c r="I334" s="1850" t="s">
        <v>909</v>
      </c>
    </row>
    <row r="335" ht="11.25" customHeight="1">
      <c r="A335" s="1850" t="s">
        <v>2248</v>
      </c>
      <c r="B335" s="1850" t="s">
        <v>16</v>
      </c>
      <c r="C335" s="1850" t="s">
        <v>2748</v>
      </c>
      <c r="D335" s="1850" t="s">
        <v>2749</v>
      </c>
      <c r="E335" s="1850" t="s">
        <v>2750</v>
      </c>
      <c r="F335" s="1850" t="s">
        <v>2289</v>
      </c>
      <c r="G335" s="1850" t="s">
        <v>2751</v>
      </c>
      <c r="H335" s="1850" t="s">
        <v>22</v>
      </c>
      <c r="I335" s="1850" t="s">
        <v>909</v>
      </c>
    </row>
    <row r="336" ht="11.25" customHeight="1">
      <c r="A336" s="1850" t="s">
        <v>2248</v>
      </c>
      <c r="B336" s="1850" t="s">
        <v>16</v>
      </c>
      <c r="C336" s="1850" t="s">
        <v>2758</v>
      </c>
      <c r="D336" s="1850" t="s">
        <v>2759</v>
      </c>
      <c r="E336" s="1850" t="s">
        <v>2760</v>
      </c>
      <c r="F336" s="1850" t="s">
        <v>2264</v>
      </c>
      <c r="G336" s="1850" t="s">
        <v>22</v>
      </c>
      <c r="H336" s="1850" t="s">
        <v>22</v>
      </c>
      <c r="I336" s="1850" t="s">
        <v>909</v>
      </c>
    </row>
    <row r="337" ht="11.25" customHeight="1">
      <c r="A337" s="1850" t="s">
        <v>2248</v>
      </c>
      <c r="B337" s="1850" t="s">
        <v>16</v>
      </c>
      <c r="C337" s="1850" t="s">
        <v>2761</v>
      </c>
      <c r="D337" s="1850" t="s">
        <v>2762</v>
      </c>
      <c r="E337" s="1850" t="s">
        <v>2763</v>
      </c>
      <c r="F337" s="1850" t="s">
        <v>2368</v>
      </c>
      <c r="G337" s="1850" t="s">
        <v>22</v>
      </c>
      <c r="H337" s="1850" t="s">
        <v>22</v>
      </c>
      <c r="I337" s="1850" t="s">
        <v>909</v>
      </c>
    </row>
    <row r="338" ht="11.25" customHeight="1">
      <c r="A338" s="1850" t="s">
        <v>2248</v>
      </c>
      <c r="B338" s="1850" t="s">
        <v>16</v>
      </c>
      <c r="C338" s="1850" t="s">
        <v>2414</v>
      </c>
      <c r="D338" s="1850" t="s">
        <v>2415</v>
      </c>
      <c r="E338" s="1850" t="s">
        <v>2416</v>
      </c>
      <c r="F338" s="1850" t="s">
        <v>2383</v>
      </c>
      <c r="G338" s="1850" t="s">
        <v>22</v>
      </c>
      <c r="H338" s="1850" t="s">
        <v>22</v>
      </c>
      <c r="I338" s="1850" t="s">
        <v>909</v>
      </c>
    </row>
    <row r="339" ht="11.25" customHeight="1">
      <c r="A339" s="1850" t="s">
        <v>2248</v>
      </c>
      <c r="B339" s="1850" t="s">
        <v>16</v>
      </c>
      <c r="C339" s="1850" t="s">
        <v>2768</v>
      </c>
      <c r="D339" s="1850" t="s">
        <v>2769</v>
      </c>
      <c r="E339" s="1850" t="s">
        <v>2770</v>
      </c>
      <c r="F339" s="1850" t="s">
        <v>2268</v>
      </c>
      <c r="G339" s="1850" t="s">
        <v>22</v>
      </c>
      <c r="H339" s="1850" t="s">
        <v>22</v>
      </c>
      <c r="I339" s="1850" t="s">
        <v>909</v>
      </c>
    </row>
    <row r="340" ht="11.25" customHeight="1">
      <c r="A340" s="1850" t="s">
        <v>2248</v>
      </c>
      <c r="B340" s="1850" t="s">
        <v>16</v>
      </c>
      <c r="C340" s="1850" t="s">
        <v>2771</v>
      </c>
      <c r="D340" s="1850" t="s">
        <v>2772</v>
      </c>
      <c r="E340" s="1850" t="s">
        <v>2773</v>
      </c>
      <c r="F340" s="1850" t="s">
        <v>2413</v>
      </c>
      <c r="G340" s="1850" t="s">
        <v>22</v>
      </c>
      <c r="H340" s="1850" t="s">
        <v>22</v>
      </c>
      <c r="I340" s="1850" t="s">
        <v>909</v>
      </c>
    </row>
    <row r="341" ht="11.25" customHeight="1">
      <c r="A341" s="1850" t="s">
        <v>2248</v>
      </c>
      <c r="B341" s="1850" t="s">
        <v>16</v>
      </c>
      <c r="C341" s="1850" t="s">
        <v>2420</v>
      </c>
      <c r="D341" s="1850" t="s">
        <v>2421</v>
      </c>
      <c r="E341" s="1850" t="s">
        <v>2422</v>
      </c>
      <c r="F341" s="1850" t="s">
        <v>2289</v>
      </c>
      <c r="G341" s="1850" t="s">
        <v>22</v>
      </c>
      <c r="H341" s="1850" t="s">
        <v>22</v>
      </c>
      <c r="I341" s="1850" t="s">
        <v>909</v>
      </c>
    </row>
    <row r="342" ht="11.25" customHeight="1">
      <c r="A342" s="1850" t="s">
        <v>2248</v>
      </c>
      <c r="B342" s="1850" t="s">
        <v>16</v>
      </c>
      <c r="C342" s="1850" t="s">
        <v>2423</v>
      </c>
      <c r="D342" s="1850" t="s">
        <v>2424</v>
      </c>
      <c r="E342" s="1850" t="s">
        <v>2425</v>
      </c>
      <c r="F342" s="1850" t="s">
        <v>2426</v>
      </c>
      <c r="G342" s="1850" t="s">
        <v>22</v>
      </c>
      <c r="H342" s="1850" t="s">
        <v>22</v>
      </c>
      <c r="I342" s="1850" t="s">
        <v>909</v>
      </c>
    </row>
    <row r="343" ht="11.25" customHeight="1">
      <c r="A343" s="1850" t="s">
        <v>2248</v>
      </c>
      <c r="B343" s="1850" t="s">
        <v>16</v>
      </c>
      <c r="C343" s="1850" t="s">
        <v>2782</v>
      </c>
      <c r="D343" s="1850" t="s">
        <v>2783</v>
      </c>
      <c r="E343" s="1850" t="s">
        <v>2784</v>
      </c>
      <c r="F343" s="1850" t="s">
        <v>2359</v>
      </c>
      <c r="G343" s="1850" t="s">
        <v>22</v>
      </c>
      <c r="H343" s="1850" t="s">
        <v>22</v>
      </c>
      <c r="I343" s="1850" t="s">
        <v>909</v>
      </c>
    </row>
    <row r="344" ht="11.25" customHeight="1">
      <c r="A344" s="1850" t="s">
        <v>2248</v>
      </c>
      <c r="B344" s="1850" t="s">
        <v>16</v>
      </c>
      <c r="C344" s="1850" t="s">
        <v>2785</v>
      </c>
      <c r="D344" s="1850" t="s">
        <v>2786</v>
      </c>
      <c r="E344" s="1850" t="s">
        <v>2787</v>
      </c>
      <c r="F344" s="1850" t="s">
        <v>2268</v>
      </c>
      <c r="G344" s="1850" t="s">
        <v>2788</v>
      </c>
      <c r="H344" s="1850" t="s">
        <v>22</v>
      </c>
      <c r="I344" s="1850" t="s">
        <v>909</v>
      </c>
    </row>
    <row r="345" ht="11.25" customHeight="1">
      <c r="A345" s="1850" t="s">
        <v>2248</v>
      </c>
      <c r="B345" s="1850" t="s">
        <v>16</v>
      </c>
      <c r="C345" s="1850" t="s">
        <v>2463</v>
      </c>
      <c r="D345" s="1850" t="s">
        <v>2464</v>
      </c>
      <c r="E345" s="1850" t="s">
        <v>2465</v>
      </c>
      <c r="F345" s="1850" t="s">
        <v>2289</v>
      </c>
      <c r="G345" s="1850" t="s">
        <v>22</v>
      </c>
      <c r="H345" s="1850" t="s">
        <v>22</v>
      </c>
      <c r="I345" s="1850" t="s">
        <v>909</v>
      </c>
    </row>
    <row r="346" ht="11.25" customHeight="1">
      <c r="A346" s="1850" t="s">
        <v>2248</v>
      </c>
      <c r="B346" s="1850" t="s">
        <v>16</v>
      </c>
      <c r="C346" s="1850" t="s">
        <v>2952</v>
      </c>
      <c r="D346" s="1850" t="s">
        <v>2953</v>
      </c>
      <c r="E346" s="1850" t="s">
        <v>2954</v>
      </c>
      <c r="F346" s="1850" t="s">
        <v>2264</v>
      </c>
      <c r="G346" s="1850" t="s">
        <v>22</v>
      </c>
      <c r="H346" s="1850" t="s">
        <v>22</v>
      </c>
      <c r="I346" s="1850" t="s">
        <v>909</v>
      </c>
    </row>
    <row r="347" ht="11.25" customHeight="1">
      <c r="A347" s="1850" t="s">
        <v>2248</v>
      </c>
      <c r="B347" s="1850" t="s">
        <v>16</v>
      </c>
      <c r="C347" s="1850" t="s">
        <v>2469</v>
      </c>
      <c r="D347" s="1850" t="s">
        <v>2470</v>
      </c>
      <c r="E347" s="1850" t="s">
        <v>2471</v>
      </c>
      <c r="F347" s="1850" t="s">
        <v>2321</v>
      </c>
      <c r="G347" s="1850" t="s">
        <v>2472</v>
      </c>
      <c r="H347" s="1850" t="s">
        <v>22</v>
      </c>
      <c r="I347" s="1850" t="s">
        <v>909</v>
      </c>
    </row>
    <row r="348" ht="11.25" customHeight="1">
      <c r="A348" s="1850" t="s">
        <v>2248</v>
      </c>
      <c r="B348" s="1850" t="s">
        <v>16</v>
      </c>
      <c r="C348" s="1850" t="s">
        <v>2473</v>
      </c>
      <c r="D348" s="1850" t="s">
        <v>2474</v>
      </c>
      <c r="E348" s="1850" t="s">
        <v>2475</v>
      </c>
      <c r="F348" s="1850" t="s">
        <v>2373</v>
      </c>
      <c r="G348" s="1850" t="s">
        <v>2476</v>
      </c>
      <c r="H348" s="1850" t="s">
        <v>22</v>
      </c>
      <c r="I348" s="1850" t="s">
        <v>909</v>
      </c>
    </row>
    <row r="349" ht="11.25" customHeight="1">
      <c r="A349" s="1850" t="s">
        <v>2248</v>
      </c>
      <c r="B349" s="1850" t="s">
        <v>16</v>
      </c>
      <c r="C349" s="1850" t="s">
        <v>2955</v>
      </c>
      <c r="D349" s="1850" t="s">
        <v>2956</v>
      </c>
      <c r="E349" s="1850" t="s">
        <v>2957</v>
      </c>
      <c r="F349" s="1850" t="s">
        <v>2383</v>
      </c>
      <c r="G349" s="1850" t="s">
        <v>2958</v>
      </c>
      <c r="H349" s="1850" t="s">
        <v>22</v>
      </c>
      <c r="I349" s="1850" t="s">
        <v>909</v>
      </c>
    </row>
    <row r="350" ht="11.25" customHeight="1">
      <c r="A350" s="1850" t="s">
        <v>2248</v>
      </c>
      <c r="B350" s="1850" t="s">
        <v>16</v>
      </c>
      <c r="C350" s="1850" t="s">
        <v>2806</v>
      </c>
      <c r="D350" s="1850" t="s">
        <v>2807</v>
      </c>
      <c r="E350" s="1850" t="s">
        <v>2808</v>
      </c>
      <c r="F350" s="1850" t="s">
        <v>2330</v>
      </c>
      <c r="G350" s="1850" t="s">
        <v>22</v>
      </c>
      <c r="H350" s="1850" t="s">
        <v>22</v>
      </c>
      <c r="I350" s="1850" t="s">
        <v>909</v>
      </c>
    </row>
    <row r="351" ht="11.25" customHeight="1">
      <c r="A351" s="1850" t="s">
        <v>2248</v>
      </c>
      <c r="B351" s="1850" t="s">
        <v>16</v>
      </c>
      <c r="C351" s="1850" t="s">
        <v>2813</v>
      </c>
      <c r="D351" s="1850" t="s">
        <v>2814</v>
      </c>
      <c r="E351" s="1850" t="s">
        <v>2815</v>
      </c>
      <c r="F351" s="1850" t="s">
        <v>2264</v>
      </c>
      <c r="G351" s="1850" t="s">
        <v>2816</v>
      </c>
      <c r="H351" s="1850" t="s">
        <v>22</v>
      </c>
      <c r="I351" s="1850" t="s">
        <v>909</v>
      </c>
    </row>
    <row r="352" ht="11.25" customHeight="1">
      <c r="A352" s="1850" t="s">
        <v>2248</v>
      </c>
      <c r="B352" s="1850" t="s">
        <v>16</v>
      </c>
      <c r="C352" s="1850" t="s">
        <v>2817</v>
      </c>
      <c r="D352" s="1850" t="s">
        <v>2818</v>
      </c>
      <c r="E352" s="1850" t="s">
        <v>2819</v>
      </c>
      <c r="F352" s="1850" t="s">
        <v>2330</v>
      </c>
      <c r="G352" s="1850" t="s">
        <v>22</v>
      </c>
      <c r="H352" s="1850" t="s">
        <v>22</v>
      </c>
      <c r="I352" s="1850" t="s">
        <v>909</v>
      </c>
    </row>
    <row r="353" ht="11.25" customHeight="1">
      <c r="A353" s="1850" t="s">
        <v>2248</v>
      </c>
      <c r="B353" s="1850" t="s">
        <v>16</v>
      </c>
      <c r="C353" s="1850" t="s">
        <v>2820</v>
      </c>
      <c r="D353" s="1850" t="s">
        <v>2821</v>
      </c>
      <c r="E353" s="1850" t="s">
        <v>2822</v>
      </c>
      <c r="F353" s="1850" t="s">
        <v>2404</v>
      </c>
      <c r="G353" s="1850" t="s">
        <v>22</v>
      </c>
      <c r="H353" s="1850" t="s">
        <v>22</v>
      </c>
      <c r="I353" s="1850" t="s">
        <v>909</v>
      </c>
    </row>
    <row r="354" ht="11.25" customHeight="1">
      <c r="A354" s="1850" t="s">
        <v>2248</v>
      </c>
      <c r="B354" s="1850" t="s">
        <v>16</v>
      </c>
      <c r="C354" s="1850" t="s">
        <v>2827</v>
      </c>
      <c r="D354" s="1850" t="s">
        <v>2828</v>
      </c>
      <c r="E354" s="1850" t="s">
        <v>2829</v>
      </c>
      <c r="F354" s="1850" t="s">
        <v>2408</v>
      </c>
      <c r="G354" s="1850" t="s">
        <v>2830</v>
      </c>
      <c r="H354" s="1850" t="s">
        <v>22</v>
      </c>
      <c r="I354" s="1850" t="s">
        <v>909</v>
      </c>
    </row>
    <row r="355" ht="11.25" customHeight="1">
      <c r="A355" s="1850" t="s">
        <v>2248</v>
      </c>
      <c r="B355" s="1850" t="s">
        <v>16</v>
      </c>
      <c r="C355" s="1850" t="s">
        <v>2835</v>
      </c>
      <c r="D355" s="1850" t="s">
        <v>2836</v>
      </c>
      <c r="E355" s="1850" t="s">
        <v>2837</v>
      </c>
      <c r="F355" s="1850" t="s">
        <v>2312</v>
      </c>
      <c r="G355" s="1850" t="s">
        <v>22</v>
      </c>
      <c r="H355" s="1850" t="s">
        <v>22</v>
      </c>
      <c r="I355" s="1850" t="s">
        <v>909</v>
      </c>
    </row>
    <row r="356" ht="11.25" customHeight="1">
      <c r="A356" s="1850" t="s">
        <v>2248</v>
      </c>
      <c r="B356" s="1850" t="s">
        <v>16</v>
      </c>
      <c r="C356" s="1850" t="s">
        <v>2959</v>
      </c>
      <c r="D356" s="1850" t="s">
        <v>2960</v>
      </c>
      <c r="E356" s="1850" t="s">
        <v>2961</v>
      </c>
      <c r="F356" s="1850" t="s">
        <v>2264</v>
      </c>
      <c r="G356" s="1850" t="s">
        <v>2962</v>
      </c>
      <c r="H356" s="1850" t="s">
        <v>22</v>
      </c>
      <c r="I356" s="1850" t="s">
        <v>909</v>
      </c>
    </row>
    <row r="357" ht="11.25" customHeight="1">
      <c r="A357" s="1850" t="s">
        <v>2248</v>
      </c>
      <c r="B357" s="1850" t="s">
        <v>16</v>
      </c>
      <c r="C357" s="1850" t="s">
        <v>2844</v>
      </c>
      <c r="D357" s="1850" t="s">
        <v>2845</v>
      </c>
      <c r="E357" s="1850" t="s">
        <v>2846</v>
      </c>
      <c r="F357" s="1850" t="s">
        <v>2264</v>
      </c>
      <c r="G357" s="1850" t="s">
        <v>22</v>
      </c>
      <c r="H357" s="1850" t="s">
        <v>22</v>
      </c>
      <c r="I357" s="1850" t="s">
        <v>909</v>
      </c>
    </row>
    <row r="358" ht="11.25" customHeight="1">
      <c r="A358" s="1850" t="s">
        <v>2248</v>
      </c>
      <c r="B358" s="1850" t="s">
        <v>16</v>
      </c>
      <c r="C358" s="1850" t="s">
        <v>2850</v>
      </c>
      <c r="D358" s="1850" t="s">
        <v>2851</v>
      </c>
      <c r="E358" s="1850" t="s">
        <v>2852</v>
      </c>
      <c r="F358" s="1850" t="s">
        <v>2485</v>
      </c>
      <c r="G358" s="1850" t="s">
        <v>22</v>
      </c>
      <c r="H358" s="1850" t="s">
        <v>22</v>
      </c>
      <c r="I358" s="1850" t="s">
        <v>909</v>
      </c>
    </row>
    <row r="359" ht="11.25" customHeight="1">
      <c r="A359" s="1850" t="s">
        <v>2248</v>
      </c>
      <c r="B359" s="1850" t="s">
        <v>16</v>
      </c>
      <c r="C359" s="1850" t="s">
        <v>2856</v>
      </c>
      <c r="D359" s="1850" t="s">
        <v>2857</v>
      </c>
      <c r="E359" s="1850" t="s">
        <v>2858</v>
      </c>
      <c r="F359" s="1850" t="s">
        <v>2485</v>
      </c>
      <c r="G359" s="1850" t="s">
        <v>22</v>
      </c>
      <c r="H359" s="1850" t="s">
        <v>22</v>
      </c>
      <c r="I359" s="1850" t="s">
        <v>909</v>
      </c>
    </row>
    <row r="360" ht="11.25" customHeight="1">
      <c r="A360" s="1850" t="s">
        <v>2248</v>
      </c>
      <c r="B360" s="1850" t="s">
        <v>16</v>
      </c>
      <c r="C360" s="1850" t="s">
        <v>2865</v>
      </c>
      <c r="D360" s="1850" t="s">
        <v>2866</v>
      </c>
      <c r="E360" s="1850" t="s">
        <v>2867</v>
      </c>
      <c r="F360" s="1850" t="s">
        <v>2349</v>
      </c>
      <c r="G360" s="1850" t="s">
        <v>22</v>
      </c>
      <c r="H360" s="1850" t="s">
        <v>22</v>
      </c>
      <c r="I360" s="1850" t="s">
        <v>909</v>
      </c>
    </row>
    <row r="361" ht="11.25" customHeight="1">
      <c r="A361" s="1850" t="s">
        <v>2248</v>
      </c>
      <c r="B361" s="1850" t="s">
        <v>16</v>
      </c>
      <c r="C361" s="1850" t="s">
        <v>2963</v>
      </c>
      <c r="D361" s="1850" t="s">
        <v>2964</v>
      </c>
      <c r="E361" s="1850" t="s">
        <v>2965</v>
      </c>
      <c r="F361" s="1850" t="s">
        <v>2252</v>
      </c>
      <c r="G361" s="1850" t="s">
        <v>22</v>
      </c>
      <c r="H361" s="1850" t="s">
        <v>22</v>
      </c>
      <c r="I361" s="1850" t="s">
        <v>909</v>
      </c>
    </row>
    <row r="362" ht="11.25" customHeight="1">
      <c r="A362" s="1850" t="s">
        <v>2248</v>
      </c>
      <c r="B362" s="1850" t="s">
        <v>16</v>
      </c>
      <c r="C362" s="1850" t="s">
        <v>2868</v>
      </c>
      <c r="D362" s="1850" t="s">
        <v>2869</v>
      </c>
      <c r="E362" s="1850" t="s">
        <v>2870</v>
      </c>
      <c r="F362" s="1850" t="s">
        <v>2373</v>
      </c>
      <c r="G362" s="1850" t="s">
        <v>22</v>
      </c>
      <c r="H362" s="1850" t="s">
        <v>22</v>
      </c>
      <c r="I362" s="1850" t="s">
        <v>909</v>
      </c>
    </row>
    <row r="363" ht="11.25" customHeight="1">
      <c r="A363" s="1850" t="s">
        <v>2248</v>
      </c>
      <c r="B363" s="1850" t="s">
        <v>16</v>
      </c>
      <c r="C363" s="1850" t="s">
        <v>2871</v>
      </c>
      <c r="D363" s="1850" t="s">
        <v>2872</v>
      </c>
      <c r="E363" s="1850" t="s">
        <v>2873</v>
      </c>
      <c r="F363" s="1850" t="s">
        <v>2393</v>
      </c>
      <c r="G363" s="1850" t="s">
        <v>22</v>
      </c>
      <c r="H363" s="1850" t="s">
        <v>22</v>
      </c>
      <c r="I363" s="1850" t="s">
        <v>909</v>
      </c>
    </row>
    <row r="364" ht="11.25" customHeight="1">
      <c r="A364" s="1850" t="s">
        <v>2248</v>
      </c>
      <c r="B364" s="1850" t="s">
        <v>16</v>
      </c>
      <c r="C364" s="1850" t="s">
        <v>2526</v>
      </c>
      <c r="D364" s="1850" t="s">
        <v>2527</v>
      </c>
      <c r="E364" s="1850" t="s">
        <v>2528</v>
      </c>
      <c r="F364" s="1850" t="s">
        <v>2252</v>
      </c>
      <c r="G364" s="1850" t="s">
        <v>22</v>
      </c>
      <c r="H364" s="1850" t="s">
        <v>22</v>
      </c>
      <c r="I364" s="1850" t="s">
        <v>909</v>
      </c>
    </row>
    <row r="365" ht="11.25" customHeight="1">
      <c r="A365" s="1850" t="s">
        <v>2248</v>
      </c>
      <c r="B365" s="1850" t="s">
        <v>16</v>
      </c>
      <c r="C365" s="1850" t="s">
        <v>2539</v>
      </c>
      <c r="D365" s="1850" t="s">
        <v>2540</v>
      </c>
      <c r="E365" s="1850" t="s">
        <v>2541</v>
      </c>
      <c r="F365" s="1850" t="s">
        <v>2542</v>
      </c>
      <c r="G365" s="1850" t="s">
        <v>22</v>
      </c>
      <c r="H365" s="1850" t="s">
        <v>22</v>
      </c>
      <c r="I365" s="1850" t="s">
        <v>909</v>
      </c>
    </row>
    <row r="366" ht="11.25" customHeight="1">
      <c r="A366" s="1850" t="s">
        <v>2248</v>
      </c>
      <c r="B366" s="1850" t="s">
        <v>16</v>
      </c>
      <c r="C366" s="1850" t="s">
        <v>2877</v>
      </c>
      <c r="D366" s="1850" t="s">
        <v>2878</v>
      </c>
      <c r="E366" s="1850" t="s">
        <v>2879</v>
      </c>
      <c r="F366" s="1850" t="s">
        <v>2264</v>
      </c>
      <c r="G366" s="1850" t="s">
        <v>2880</v>
      </c>
      <c r="H366" s="1850" t="s">
        <v>22</v>
      </c>
      <c r="I366" s="1850" t="s">
        <v>909</v>
      </c>
    </row>
    <row r="367" ht="11.25" customHeight="1">
      <c r="A367" s="1850" t="s">
        <v>2248</v>
      </c>
      <c r="B367" s="1850" t="s">
        <v>16</v>
      </c>
      <c r="C367" s="1850" t="s">
        <v>2887</v>
      </c>
      <c r="D367" s="1850" t="s">
        <v>2888</v>
      </c>
      <c r="E367" s="1850" t="s">
        <v>2889</v>
      </c>
      <c r="F367" s="1850" t="s">
        <v>2368</v>
      </c>
      <c r="G367" s="1850" t="s">
        <v>22</v>
      </c>
      <c r="H367" s="1850" t="s">
        <v>22</v>
      </c>
      <c r="I367" s="1850" t="s">
        <v>909</v>
      </c>
    </row>
    <row r="368" ht="11.25" customHeight="1">
      <c r="A368" s="1850" t="s">
        <v>2248</v>
      </c>
      <c r="B368" s="1850" t="s">
        <v>16</v>
      </c>
      <c r="C368" s="1850" t="s">
        <v>2890</v>
      </c>
      <c r="D368" s="1850" t="s">
        <v>2891</v>
      </c>
      <c r="E368" s="1850" t="s">
        <v>2892</v>
      </c>
      <c r="F368" s="1850" t="s">
        <v>2252</v>
      </c>
      <c r="G368" s="1850" t="s">
        <v>22</v>
      </c>
      <c r="H368" s="1850" t="s">
        <v>22</v>
      </c>
      <c r="I368" s="1850" t="s">
        <v>909</v>
      </c>
    </row>
    <row r="369" ht="11.25" customHeight="1">
      <c r="A369" s="1850" t="s">
        <v>2248</v>
      </c>
      <c r="B369" s="1850" t="s">
        <v>16</v>
      </c>
      <c r="C369" s="1850" t="s">
        <v>2893</v>
      </c>
      <c r="D369" s="1850" t="s">
        <v>2894</v>
      </c>
      <c r="E369" s="1850" t="s">
        <v>2895</v>
      </c>
      <c r="F369" s="1850" t="s">
        <v>2546</v>
      </c>
      <c r="G369" s="1850" t="s">
        <v>22</v>
      </c>
      <c r="H369" s="1850" t="s">
        <v>22</v>
      </c>
      <c r="I369" s="1850" t="s">
        <v>909</v>
      </c>
    </row>
    <row r="370" ht="11.25" customHeight="1">
      <c r="A370" s="1850" t="s">
        <v>2248</v>
      </c>
      <c r="B370" s="1850" t="s">
        <v>16</v>
      </c>
      <c r="C370" s="1850" t="s">
        <v>2966</v>
      </c>
      <c r="D370" s="1850" t="s">
        <v>2967</v>
      </c>
      <c r="E370" s="1850" t="s">
        <v>2968</v>
      </c>
      <c r="F370" s="1850" t="s">
        <v>2256</v>
      </c>
      <c r="G370" s="1850" t="s">
        <v>22</v>
      </c>
      <c r="H370" s="1850" t="s">
        <v>22</v>
      </c>
      <c r="I370" s="1850" t="s">
        <v>909</v>
      </c>
    </row>
    <row r="371" ht="11.25" customHeight="1">
      <c r="A371" s="1850" t="s">
        <v>2248</v>
      </c>
      <c r="B371" s="1850" t="s">
        <v>16</v>
      </c>
      <c r="C371" s="1850" t="s">
        <v>2903</v>
      </c>
      <c r="D371" s="1850" t="s">
        <v>2904</v>
      </c>
      <c r="E371" s="1850" t="s">
        <v>2905</v>
      </c>
      <c r="F371" s="1850" t="s">
        <v>2335</v>
      </c>
      <c r="G371" s="1850" t="s">
        <v>22</v>
      </c>
      <c r="H371" s="1850" t="s">
        <v>22</v>
      </c>
      <c r="I371" s="1850" t="s">
        <v>909</v>
      </c>
    </row>
    <row r="372" ht="11.25" customHeight="1">
      <c r="A372" s="1850" t="s">
        <v>2248</v>
      </c>
      <c r="B372" s="1850" t="s">
        <v>16</v>
      </c>
      <c r="C372" s="1850" t="s">
        <v>2906</v>
      </c>
      <c r="D372" s="1850" t="s">
        <v>2907</v>
      </c>
      <c r="E372" s="1850" t="s">
        <v>2908</v>
      </c>
      <c r="F372" s="1850" t="s">
        <v>2252</v>
      </c>
      <c r="G372" s="1850" t="s">
        <v>22</v>
      </c>
      <c r="H372" s="1850" t="s">
        <v>22</v>
      </c>
      <c r="I372" s="1850" t="s">
        <v>909</v>
      </c>
    </row>
    <row r="373" ht="11.25" customHeight="1">
      <c r="A373" s="1850" t="s">
        <v>2248</v>
      </c>
      <c r="B373" s="1850" t="s">
        <v>16</v>
      </c>
      <c r="C373" s="1850" t="s">
        <v>2909</v>
      </c>
      <c r="D373" s="1850" t="s">
        <v>2910</v>
      </c>
      <c r="E373" s="1850" t="s">
        <v>2911</v>
      </c>
      <c r="F373" s="1850" t="s">
        <v>2264</v>
      </c>
      <c r="G373" s="1850" t="s">
        <v>22</v>
      </c>
      <c r="H373" s="1850" t="s">
        <v>22</v>
      </c>
      <c r="I373" s="1850" t="s">
        <v>909</v>
      </c>
    </row>
    <row r="374" ht="11.25" customHeight="1">
      <c r="A374" s="1850" t="s">
        <v>2248</v>
      </c>
      <c r="B374" s="1850" t="s">
        <v>16</v>
      </c>
      <c r="C374" s="1850" t="s">
        <v>2565</v>
      </c>
      <c r="D374" s="1850" t="s">
        <v>2566</v>
      </c>
      <c r="E374" s="1850" t="s">
        <v>2567</v>
      </c>
      <c r="F374" s="1850" t="s">
        <v>2264</v>
      </c>
      <c r="G374" s="1850" t="s">
        <v>22</v>
      </c>
      <c r="H374" s="1850" t="s">
        <v>22</v>
      </c>
      <c r="I374" s="1850" t="s">
        <v>909</v>
      </c>
    </row>
    <row r="375" ht="11.25" customHeight="1">
      <c r="A375" s="1850" t="s">
        <v>2248</v>
      </c>
      <c r="B375" s="1850" t="s">
        <v>16</v>
      </c>
      <c r="C375" s="1850" t="s">
        <v>2918</v>
      </c>
      <c r="D375" s="1850" t="s">
        <v>2919</v>
      </c>
      <c r="E375" s="1850" t="s">
        <v>2920</v>
      </c>
      <c r="F375" s="1850" t="s">
        <v>2252</v>
      </c>
      <c r="G375" s="1850" t="s">
        <v>22</v>
      </c>
      <c r="H375" s="1850" t="s">
        <v>22</v>
      </c>
      <c r="I375" s="1850" t="s">
        <v>909</v>
      </c>
    </row>
    <row r="376" ht="11.25" customHeight="1">
      <c r="A376" s="1850" t="s">
        <v>2248</v>
      </c>
      <c r="B376" s="1850" t="s">
        <v>16</v>
      </c>
      <c r="C376" s="1850" t="s">
        <v>2581</v>
      </c>
      <c r="D376" s="1850" t="s">
        <v>2582</v>
      </c>
      <c r="E376" s="1850" t="s">
        <v>2425</v>
      </c>
      <c r="F376" s="1850" t="s">
        <v>2583</v>
      </c>
      <c r="G376" s="1850" t="s">
        <v>22</v>
      </c>
      <c r="H376" s="1850" t="s">
        <v>22</v>
      </c>
      <c r="I376" s="1850" t="s">
        <v>909</v>
      </c>
    </row>
    <row r="377" ht="11.25" customHeight="1">
      <c r="A377" s="1850" t="s">
        <v>2248</v>
      </c>
      <c r="B377" s="1850" t="s">
        <v>16</v>
      </c>
      <c r="C377" s="1850" t="s">
        <v>2924</v>
      </c>
      <c r="D377" s="1850" t="s">
        <v>2925</v>
      </c>
      <c r="E377" s="1850" t="s">
        <v>2926</v>
      </c>
      <c r="F377" s="1850" t="s">
        <v>2264</v>
      </c>
      <c r="G377" s="1850" t="s">
        <v>2927</v>
      </c>
      <c r="H377" s="1850" t="s">
        <v>22</v>
      </c>
      <c r="I377" s="1850" t="s">
        <v>909</v>
      </c>
    </row>
    <row r="378" ht="11.25" customHeight="1">
      <c r="A378" s="1850" t="s">
        <v>2248</v>
      </c>
      <c r="B378" s="1850" t="s">
        <v>16</v>
      </c>
      <c r="C378" s="1850" t="s">
        <v>2587</v>
      </c>
      <c r="D378" s="1850" t="s">
        <v>2588</v>
      </c>
      <c r="E378" s="1850" t="s">
        <v>2589</v>
      </c>
      <c r="F378" s="1850" t="s">
        <v>2590</v>
      </c>
      <c r="G378" s="1850" t="s">
        <v>22</v>
      </c>
      <c r="H378" s="1850" t="s">
        <v>22</v>
      </c>
      <c r="I378" s="1850" t="s">
        <v>909</v>
      </c>
    </row>
    <row r="379" ht="11.25" customHeight="1">
      <c r="A379" s="1850" t="s">
        <v>2248</v>
      </c>
      <c r="B379" s="1850" t="s">
        <v>16</v>
      </c>
      <c r="C379" s="1850" t="s">
        <v>2591</v>
      </c>
      <c r="D379" s="1850" t="s">
        <v>2592</v>
      </c>
      <c r="E379" s="1850" t="s">
        <v>2593</v>
      </c>
      <c r="F379" s="1850" t="s">
        <v>2335</v>
      </c>
      <c r="G379" s="1850" t="s">
        <v>22</v>
      </c>
      <c r="H379" s="1850" t="s">
        <v>22</v>
      </c>
      <c r="I379" s="1850" t="s">
        <v>909</v>
      </c>
    </row>
    <row r="380" ht="11.25" customHeight="1">
      <c r="A380" s="1850" t="s">
        <v>2248</v>
      </c>
      <c r="B380" s="1850" t="s">
        <v>16</v>
      </c>
      <c r="C380" s="1850" t="s">
        <v>2597</v>
      </c>
      <c r="D380" s="1850" t="s">
        <v>2598</v>
      </c>
      <c r="E380" s="1850" t="s">
        <v>2599</v>
      </c>
      <c r="F380" s="1850" t="s">
        <v>2252</v>
      </c>
      <c r="G380" s="1850" t="s">
        <v>22</v>
      </c>
      <c r="H380" s="1850" t="s">
        <v>22</v>
      </c>
      <c r="I380" s="1850" t="s">
        <v>909</v>
      </c>
    </row>
    <row r="381" ht="11.25" customHeight="1">
      <c r="A381" s="1850" t="s">
        <v>2248</v>
      </c>
      <c r="B381" s="1850" t="s">
        <v>16</v>
      </c>
      <c r="C381" s="1850" t="s">
        <v>2928</v>
      </c>
      <c r="D381" s="1850" t="s">
        <v>2929</v>
      </c>
      <c r="E381" s="1850" t="s">
        <v>2930</v>
      </c>
      <c r="F381" s="1850" t="s">
        <v>2289</v>
      </c>
      <c r="G381" s="1850" t="s">
        <v>2931</v>
      </c>
      <c r="H381" s="1850" t="s">
        <v>22</v>
      </c>
      <c r="I381" s="1850" t="s">
        <v>909</v>
      </c>
    </row>
    <row r="382" ht="11.25" customHeight="1">
      <c r="A382" s="1850" t="s">
        <v>2248</v>
      </c>
      <c r="B382" s="1850" t="s">
        <v>16</v>
      </c>
      <c r="C382" s="1850" t="s">
        <v>2600</v>
      </c>
      <c r="D382" s="1850" t="s">
        <v>2601</v>
      </c>
      <c r="E382" s="1850" t="s">
        <v>2602</v>
      </c>
      <c r="F382" s="1850" t="s">
        <v>2603</v>
      </c>
      <c r="G382" s="1850" t="s">
        <v>2604</v>
      </c>
      <c r="H382" s="1850" t="s">
        <v>22</v>
      </c>
      <c r="I382" s="1850" t="s">
        <v>909</v>
      </c>
    </row>
    <row r="383" ht="11.25" customHeight="1">
      <c r="A383" s="1850" t="s">
        <v>2248</v>
      </c>
      <c r="B383" s="1850" t="s">
        <v>16</v>
      </c>
      <c r="C383" s="1850" t="s">
        <v>2610</v>
      </c>
      <c r="D383" s="1850" t="s">
        <v>2611</v>
      </c>
      <c r="E383" s="1850" t="s">
        <v>2607</v>
      </c>
      <c r="F383" s="1850" t="s">
        <v>2612</v>
      </c>
      <c r="G383" s="1850" t="s">
        <v>2609</v>
      </c>
      <c r="H383" s="1850" t="s">
        <v>22</v>
      </c>
      <c r="I383" s="1850" t="s">
        <v>909</v>
      </c>
    </row>
    <row r="384" ht="11.25" customHeight="1">
      <c r="A384" s="1850" t="s">
        <v>2248</v>
      </c>
      <c r="B384" s="1850" t="s">
        <v>16</v>
      </c>
      <c r="C384" s="1850" t="s">
        <v>2613</v>
      </c>
      <c r="D384" s="1850" t="s">
        <v>2614</v>
      </c>
      <c r="E384" s="1850" t="s">
        <v>2589</v>
      </c>
      <c r="F384" s="1850" t="s">
        <v>2615</v>
      </c>
      <c r="G384" s="1850" t="s">
        <v>22</v>
      </c>
      <c r="H384" s="1850" t="s">
        <v>22</v>
      </c>
      <c r="I384" s="1850" t="s">
        <v>909</v>
      </c>
    </row>
    <row r="385" ht="11.25" customHeight="1">
      <c r="A385" s="1850" t="s">
        <v>2248</v>
      </c>
      <c r="B385" s="1850" t="s">
        <v>16</v>
      </c>
      <c r="C385" s="1850" t="s">
        <v>2616</v>
      </c>
      <c r="D385" s="1850" t="s">
        <v>2617</v>
      </c>
      <c r="E385" s="1850" t="s">
        <v>2618</v>
      </c>
      <c r="F385" s="1850" t="s">
        <v>2619</v>
      </c>
      <c r="G385" s="1850" t="s">
        <v>2620</v>
      </c>
      <c r="H385" s="1850" t="s">
        <v>22</v>
      </c>
      <c r="I385" s="1850" t="s">
        <v>909</v>
      </c>
    </row>
    <row r="386" ht="11.25" customHeight="1">
      <c r="A386" s="1850" t="s">
        <v>2248</v>
      </c>
      <c r="B386" s="1850" t="s">
        <v>16</v>
      </c>
      <c r="C386" s="1850" t="s">
        <v>2621</v>
      </c>
      <c r="D386" s="1850" t="s">
        <v>2622</v>
      </c>
      <c r="E386" s="1850" t="s">
        <v>2623</v>
      </c>
      <c r="F386" s="1850" t="s">
        <v>2312</v>
      </c>
      <c r="G386" s="1850" t="s">
        <v>2624</v>
      </c>
      <c r="H386" s="1850" t="s">
        <v>22</v>
      </c>
      <c r="I386" s="1850" t="s">
        <v>909</v>
      </c>
    </row>
    <row r="387" ht="11.25" customHeight="1">
      <c r="A387" s="1850" t="s">
        <v>2248</v>
      </c>
      <c r="B387" s="1850" t="s">
        <v>16</v>
      </c>
      <c r="C387" s="1850" t="s">
        <v>2932</v>
      </c>
      <c r="D387" s="1850" t="s">
        <v>2933</v>
      </c>
      <c r="E387" s="1850" t="s">
        <v>2934</v>
      </c>
      <c r="F387" s="1850" t="s">
        <v>2542</v>
      </c>
      <c r="G387" s="1850" t="s">
        <v>22</v>
      </c>
      <c r="H387" s="1850" t="s">
        <v>22</v>
      </c>
      <c r="I387" s="1850" t="s">
        <v>909</v>
      </c>
    </row>
    <row r="388" ht="11.25" customHeight="1">
      <c r="A388" s="1850" t="s">
        <v>2248</v>
      </c>
      <c r="B388" s="1850" t="s">
        <v>16</v>
      </c>
      <c r="C388" s="1850" t="s">
        <v>2625</v>
      </c>
      <c r="D388" s="1850" t="s">
        <v>2626</v>
      </c>
      <c r="E388" s="1850" t="s">
        <v>2627</v>
      </c>
      <c r="F388" s="1850" t="s">
        <v>2628</v>
      </c>
      <c r="G388" s="1850" t="s">
        <v>22</v>
      </c>
      <c r="H388" s="1850" t="s">
        <v>22</v>
      </c>
      <c r="I388" s="1850" t="s">
        <v>909</v>
      </c>
    </row>
    <row r="389" ht="11.25" customHeight="1">
      <c r="A389" s="1850" t="s">
        <v>2248</v>
      </c>
      <c r="B389" s="1850" t="s">
        <v>16</v>
      </c>
      <c r="C389" s="1850" t="s">
        <v>13</v>
      </c>
      <c r="D389" s="1850" t="s">
        <v>46</v>
      </c>
      <c r="E389" s="1850" t="s">
        <v>49</v>
      </c>
      <c r="F389" s="1850" t="s">
        <v>51</v>
      </c>
      <c r="G389" s="1850" t="s">
        <v>2629</v>
      </c>
      <c r="H389" s="1850" t="s">
        <v>22</v>
      </c>
      <c r="I389" s="1850" t="s">
        <v>909</v>
      </c>
    </row>
    <row r="390" ht="11.25" customHeight="1">
      <c r="A390" s="1850" t="s">
        <v>2248</v>
      </c>
      <c r="B390" s="1850" t="s">
        <v>16</v>
      </c>
      <c r="C390" s="1850" t="s">
        <v>2630</v>
      </c>
      <c r="D390" s="1850" t="s">
        <v>2631</v>
      </c>
      <c r="E390" s="1850" t="s">
        <v>2632</v>
      </c>
      <c r="F390" s="1850" t="s">
        <v>2633</v>
      </c>
      <c r="G390" s="1850" t="s">
        <v>22</v>
      </c>
      <c r="H390" s="1850" t="s">
        <v>22</v>
      </c>
      <c r="I390" s="1850" t="s">
        <v>909</v>
      </c>
    </row>
    <row r="391" ht="11.25" customHeight="1">
      <c r="A391" s="1850" t="s">
        <v>2248</v>
      </c>
      <c r="B391" s="1850" t="s">
        <v>16</v>
      </c>
      <c r="C391" s="1850" t="s">
        <v>2969</v>
      </c>
      <c r="D391" s="1850" t="s">
        <v>2970</v>
      </c>
      <c r="E391" s="1850" t="s">
        <v>2971</v>
      </c>
      <c r="F391" s="1850" t="s">
        <v>2293</v>
      </c>
      <c r="G391" s="1850" t="s">
        <v>2972</v>
      </c>
      <c r="H391" s="1850" t="s">
        <v>22</v>
      </c>
      <c r="I391" s="1850" t="s">
        <v>1622</v>
      </c>
    </row>
    <row r="392" ht="11.25" customHeight="1">
      <c r="A392" s="1850" t="s">
        <v>2248</v>
      </c>
      <c r="B392" s="1850" t="s">
        <v>16</v>
      </c>
      <c r="C392" s="1850" t="s">
        <v>2973</v>
      </c>
      <c r="D392" s="1850" t="s">
        <v>2974</v>
      </c>
      <c r="E392" s="1850" t="s">
        <v>2975</v>
      </c>
      <c r="F392" s="1850" t="s">
        <v>2264</v>
      </c>
      <c r="G392" s="1850" t="s">
        <v>22</v>
      </c>
      <c r="H392" s="1850" t="s">
        <v>22</v>
      </c>
      <c r="I392" s="1850" t="s">
        <v>1622</v>
      </c>
    </row>
    <row r="393" ht="11.25" customHeight="1">
      <c r="A393" s="1850" t="s">
        <v>2248</v>
      </c>
      <c r="B393" s="1850" t="s">
        <v>16</v>
      </c>
      <c r="C393" s="1850" t="s">
        <v>22</v>
      </c>
      <c r="D393" s="1850" t="s">
        <v>2297</v>
      </c>
      <c r="E393" s="1850" t="s">
        <v>2298</v>
      </c>
      <c r="F393" s="1850" t="s">
        <v>2264</v>
      </c>
      <c r="G393" s="1850" t="s">
        <v>22</v>
      </c>
      <c r="H393" s="1850" t="s">
        <v>22</v>
      </c>
      <c r="I393" s="1850" t="s">
        <v>1622</v>
      </c>
    </row>
    <row r="394" ht="11.25" customHeight="1">
      <c r="A394" s="1850" t="s">
        <v>2248</v>
      </c>
      <c r="B394" s="1850" t="s">
        <v>16</v>
      </c>
      <c r="C394" s="1850" t="s">
        <v>2976</v>
      </c>
      <c r="D394" s="1850" t="s">
        <v>2977</v>
      </c>
      <c r="E394" s="1850" t="s">
        <v>2978</v>
      </c>
      <c r="F394" s="1850" t="s">
        <v>577</v>
      </c>
      <c r="G394" s="1850" t="s">
        <v>22</v>
      </c>
      <c r="H394" s="1850" t="s">
        <v>22</v>
      </c>
      <c r="I394" s="1850" t="s">
        <v>1622</v>
      </c>
    </row>
    <row r="395" ht="11.25" customHeight="1">
      <c r="A395" s="1850" t="s">
        <v>2248</v>
      </c>
      <c r="B395" s="1850" t="s">
        <v>16</v>
      </c>
      <c r="C395" s="1850" t="s">
        <v>2979</v>
      </c>
      <c r="D395" s="1850" t="s">
        <v>2980</v>
      </c>
      <c r="E395" s="1850" t="s">
        <v>2981</v>
      </c>
      <c r="F395" s="1850" t="s">
        <v>577</v>
      </c>
      <c r="G395" s="1850" t="s">
        <v>2982</v>
      </c>
      <c r="H395" s="1850" t="s">
        <v>22</v>
      </c>
      <c r="I395" s="1850" t="s">
        <v>1622</v>
      </c>
    </row>
    <row r="396" ht="11.25" customHeight="1">
      <c r="A396" s="1850" t="s">
        <v>2248</v>
      </c>
      <c r="B396" s="1850" t="s">
        <v>16</v>
      </c>
      <c r="C396" s="1850" t="s">
        <v>2983</v>
      </c>
      <c r="D396" s="1850" t="s">
        <v>2984</v>
      </c>
      <c r="E396" s="1850" t="s">
        <v>2985</v>
      </c>
      <c r="F396" s="1850" t="s">
        <v>577</v>
      </c>
      <c r="G396" s="1850" t="s">
        <v>2986</v>
      </c>
      <c r="H396" s="1850" t="s">
        <v>22</v>
      </c>
      <c r="I396" s="1850" t="s">
        <v>1622</v>
      </c>
    </row>
    <row r="397" ht="11.25" customHeight="1">
      <c r="A397" s="1850" t="s">
        <v>2248</v>
      </c>
      <c r="B397" s="1850" t="s">
        <v>16</v>
      </c>
      <c r="C397" s="1850" t="s">
        <v>2987</v>
      </c>
      <c r="D397" s="1850" t="s">
        <v>2988</v>
      </c>
      <c r="E397" s="1850" t="s">
        <v>2989</v>
      </c>
      <c r="F397" s="1850" t="s">
        <v>577</v>
      </c>
      <c r="G397" s="1850" t="s">
        <v>2990</v>
      </c>
      <c r="H397" s="1850" t="s">
        <v>22</v>
      </c>
      <c r="I397" s="1850" t="s">
        <v>1622</v>
      </c>
    </row>
    <row r="398" ht="11.25" customHeight="1">
      <c r="A398" s="1850" t="s">
        <v>2248</v>
      </c>
      <c r="B398" s="1850" t="s">
        <v>16</v>
      </c>
      <c r="C398" s="1850" t="s">
        <v>2313</v>
      </c>
      <c r="D398" s="1850" t="s">
        <v>2314</v>
      </c>
      <c r="E398" s="1850" t="s">
        <v>2315</v>
      </c>
      <c r="F398" s="1850" t="s">
        <v>2316</v>
      </c>
      <c r="G398" s="1850" t="s">
        <v>2317</v>
      </c>
      <c r="H398" s="1850" t="s">
        <v>22</v>
      </c>
      <c r="I398" s="1850" t="s">
        <v>1622</v>
      </c>
    </row>
    <row r="399" ht="11.25" customHeight="1">
      <c r="A399" s="1850" t="s">
        <v>2248</v>
      </c>
      <c r="B399" s="1850" t="s">
        <v>16</v>
      </c>
      <c r="C399" s="1850" t="s">
        <v>2721</v>
      </c>
      <c r="D399" s="1850" t="s">
        <v>2722</v>
      </c>
      <c r="E399" s="1850" t="s">
        <v>2723</v>
      </c>
      <c r="F399" s="1850" t="s">
        <v>2354</v>
      </c>
      <c r="G399" s="1850" t="s">
        <v>22</v>
      </c>
      <c r="H399" s="1850" t="s">
        <v>22</v>
      </c>
      <c r="I399" s="1850" t="s">
        <v>1622</v>
      </c>
    </row>
    <row r="400" ht="11.25" customHeight="1">
      <c r="A400" s="1850" t="s">
        <v>2248</v>
      </c>
      <c r="B400" s="1850" t="s">
        <v>16</v>
      </c>
      <c r="C400" s="1850" t="s">
        <v>2764</v>
      </c>
      <c r="D400" s="1850" t="s">
        <v>2765</v>
      </c>
      <c r="E400" s="1850" t="s">
        <v>2766</v>
      </c>
      <c r="F400" s="1850" t="s">
        <v>2485</v>
      </c>
      <c r="G400" s="1850" t="s">
        <v>2767</v>
      </c>
      <c r="H400" s="1850" t="s">
        <v>22</v>
      </c>
      <c r="I400" s="1850" t="s">
        <v>1622</v>
      </c>
    </row>
    <row r="401" ht="11.25" customHeight="1">
      <c r="A401" s="1850" t="s">
        <v>2248</v>
      </c>
      <c r="B401" s="1850" t="s">
        <v>16</v>
      </c>
      <c r="C401" s="1850" t="s">
        <v>2991</v>
      </c>
      <c r="D401" s="1850" t="s">
        <v>2992</v>
      </c>
      <c r="E401" s="1850" t="s">
        <v>2993</v>
      </c>
      <c r="F401" s="1850" t="s">
        <v>2359</v>
      </c>
      <c r="G401" s="1850" t="s">
        <v>22</v>
      </c>
      <c r="H401" s="1850" t="s">
        <v>22</v>
      </c>
      <c r="I401" s="1850" t="s">
        <v>1622</v>
      </c>
    </row>
    <row r="402" ht="11.25" customHeight="1">
      <c r="A402" s="1850" t="s">
        <v>2248</v>
      </c>
      <c r="B402" s="1850" t="s">
        <v>16</v>
      </c>
      <c r="C402" s="1850" t="s">
        <v>2469</v>
      </c>
      <c r="D402" s="1850" t="s">
        <v>2470</v>
      </c>
      <c r="E402" s="1850" t="s">
        <v>2471</v>
      </c>
      <c r="F402" s="1850" t="s">
        <v>2321</v>
      </c>
      <c r="G402" s="1850" t="s">
        <v>2472</v>
      </c>
      <c r="H402" s="1850" t="s">
        <v>22</v>
      </c>
      <c r="I402" s="1850" t="s">
        <v>1622</v>
      </c>
    </row>
    <row r="403" ht="11.25" customHeight="1">
      <c r="A403" s="1850" t="s">
        <v>2248</v>
      </c>
      <c r="B403" s="1850" t="s">
        <v>16</v>
      </c>
      <c r="C403" s="1850" t="s">
        <v>2994</v>
      </c>
      <c r="D403" s="1850" t="s">
        <v>2995</v>
      </c>
      <c r="E403" s="1850" t="s">
        <v>2996</v>
      </c>
      <c r="F403" s="1850" t="s">
        <v>2546</v>
      </c>
      <c r="G403" s="1850" t="s">
        <v>22</v>
      </c>
      <c r="H403" s="1850" t="s">
        <v>22</v>
      </c>
      <c r="I403" s="1850" t="s">
        <v>1622</v>
      </c>
    </row>
    <row r="404" ht="11.25" customHeight="1">
      <c r="A404" s="1850" t="s">
        <v>2248</v>
      </c>
      <c r="B404" s="1850" t="s">
        <v>16</v>
      </c>
      <c r="C404" s="1850" t="s">
        <v>2803</v>
      </c>
      <c r="D404" s="1850" t="s">
        <v>2804</v>
      </c>
      <c r="E404" s="1850" t="s">
        <v>2805</v>
      </c>
      <c r="F404" s="1850" t="s">
        <v>2485</v>
      </c>
      <c r="G404" s="1850" t="s">
        <v>22</v>
      </c>
      <c r="H404" s="1850" t="s">
        <v>22</v>
      </c>
      <c r="I404" s="1850" t="s">
        <v>1622</v>
      </c>
    </row>
    <row r="405" ht="11.25" customHeight="1">
      <c r="A405" s="1850" t="s">
        <v>2248</v>
      </c>
      <c r="B405" s="1850" t="s">
        <v>16</v>
      </c>
      <c r="C405" s="1850" t="s">
        <v>2997</v>
      </c>
      <c r="D405" s="1850" t="s">
        <v>2998</v>
      </c>
      <c r="E405" s="1850" t="s">
        <v>2999</v>
      </c>
      <c r="F405" s="1850" t="s">
        <v>2681</v>
      </c>
      <c r="G405" s="1850" t="s">
        <v>22</v>
      </c>
      <c r="H405" s="1850" t="s">
        <v>22</v>
      </c>
      <c r="I405" s="1850" t="s">
        <v>1622</v>
      </c>
    </row>
    <row r="406" ht="11.25" customHeight="1">
      <c r="A406" s="1850" t="s">
        <v>2248</v>
      </c>
      <c r="B406" s="1850" t="s">
        <v>16</v>
      </c>
      <c r="C406" s="1850" t="s">
        <v>2817</v>
      </c>
      <c r="D406" s="1850" t="s">
        <v>2818</v>
      </c>
      <c r="E406" s="1850" t="s">
        <v>2819</v>
      </c>
      <c r="F406" s="1850" t="s">
        <v>2330</v>
      </c>
      <c r="G406" s="1850" t="s">
        <v>22</v>
      </c>
      <c r="H406" s="1850" t="s">
        <v>22</v>
      </c>
      <c r="I406" s="1850" t="s">
        <v>1622</v>
      </c>
    </row>
    <row r="407" ht="11.25" customHeight="1">
      <c r="A407" s="1850" t="s">
        <v>2248</v>
      </c>
      <c r="B407" s="1850" t="s">
        <v>16</v>
      </c>
      <c r="C407" s="1850" t="s">
        <v>2820</v>
      </c>
      <c r="D407" s="1850" t="s">
        <v>2821</v>
      </c>
      <c r="E407" s="1850" t="s">
        <v>2822</v>
      </c>
      <c r="F407" s="1850" t="s">
        <v>2404</v>
      </c>
      <c r="G407" s="1850" t="s">
        <v>22</v>
      </c>
      <c r="H407" s="1850" t="s">
        <v>22</v>
      </c>
      <c r="I407" s="1850" t="s">
        <v>1622</v>
      </c>
    </row>
    <row r="408" ht="11.25" customHeight="1">
      <c r="A408" s="1850" t="s">
        <v>2248</v>
      </c>
      <c r="B408" s="1850" t="s">
        <v>16</v>
      </c>
      <c r="C408" s="1850" t="s">
        <v>3000</v>
      </c>
      <c r="D408" s="1850" t="s">
        <v>3001</v>
      </c>
      <c r="E408" s="1850" t="s">
        <v>3002</v>
      </c>
      <c r="F408" s="1850" t="s">
        <v>2388</v>
      </c>
      <c r="G408" s="1850" t="s">
        <v>22</v>
      </c>
      <c r="H408" s="1850" t="s">
        <v>22</v>
      </c>
      <c r="I408" s="1850" t="s">
        <v>1622</v>
      </c>
    </row>
    <row r="409" ht="11.25" customHeight="1">
      <c r="A409" s="1850" t="s">
        <v>2248</v>
      </c>
      <c r="B409" s="1850" t="s">
        <v>16</v>
      </c>
      <c r="C409" s="1850" t="s">
        <v>3003</v>
      </c>
      <c r="D409" s="1850" t="s">
        <v>3004</v>
      </c>
      <c r="E409" s="1850" t="s">
        <v>3005</v>
      </c>
      <c r="F409" s="1850" t="s">
        <v>2264</v>
      </c>
      <c r="G409" s="1850" t="s">
        <v>3006</v>
      </c>
      <c r="H409" s="1850" t="s">
        <v>22</v>
      </c>
      <c r="I409" s="1850" t="s">
        <v>1622</v>
      </c>
    </row>
    <row r="410" ht="11.25" customHeight="1">
      <c r="A410" s="1850" t="s">
        <v>2248</v>
      </c>
      <c r="B410" s="1850" t="s">
        <v>16</v>
      </c>
      <c r="C410" s="1850" t="s">
        <v>2827</v>
      </c>
      <c r="D410" s="1850" t="s">
        <v>2828</v>
      </c>
      <c r="E410" s="1850" t="s">
        <v>2829</v>
      </c>
      <c r="F410" s="1850" t="s">
        <v>2408</v>
      </c>
      <c r="G410" s="1850" t="s">
        <v>2830</v>
      </c>
      <c r="H410" s="1850" t="s">
        <v>22</v>
      </c>
      <c r="I410" s="1850" t="s">
        <v>1622</v>
      </c>
    </row>
    <row r="411" ht="11.25" customHeight="1">
      <c r="A411" s="1850" t="s">
        <v>2248</v>
      </c>
      <c r="B411" s="1850" t="s">
        <v>16</v>
      </c>
      <c r="C411" s="1850" t="s">
        <v>3007</v>
      </c>
      <c r="D411" s="1850" t="s">
        <v>3008</v>
      </c>
      <c r="E411" s="1850" t="s">
        <v>3009</v>
      </c>
      <c r="F411" s="1850" t="s">
        <v>2383</v>
      </c>
      <c r="G411" s="1850" t="s">
        <v>3010</v>
      </c>
      <c r="H411" s="1850" t="s">
        <v>22</v>
      </c>
      <c r="I411" s="1850" t="s">
        <v>1622</v>
      </c>
    </row>
    <row r="412" ht="11.25" customHeight="1">
      <c r="A412" s="1850" t="s">
        <v>2248</v>
      </c>
      <c r="B412" s="1850" t="s">
        <v>16</v>
      </c>
      <c r="C412" s="1850" t="s">
        <v>3011</v>
      </c>
      <c r="D412" s="1850" t="s">
        <v>3012</v>
      </c>
      <c r="E412" s="1850" t="s">
        <v>3013</v>
      </c>
      <c r="F412" s="1850" t="s">
        <v>2542</v>
      </c>
      <c r="G412" s="1850" t="s">
        <v>3014</v>
      </c>
      <c r="H412" s="1850" t="s">
        <v>22</v>
      </c>
      <c r="I412" s="1850" t="s">
        <v>1622</v>
      </c>
    </row>
    <row r="413" ht="11.25" customHeight="1">
      <c r="A413" s="1850" t="s">
        <v>2248</v>
      </c>
      <c r="B413" s="1850" t="s">
        <v>16</v>
      </c>
      <c r="C413" s="1850" t="s">
        <v>3015</v>
      </c>
      <c r="D413" s="1850" t="s">
        <v>3016</v>
      </c>
      <c r="E413" s="1850" t="s">
        <v>3017</v>
      </c>
      <c r="F413" s="1850" t="s">
        <v>2264</v>
      </c>
      <c r="G413" s="1850" t="s">
        <v>3018</v>
      </c>
      <c r="H413" s="1850" t="s">
        <v>22</v>
      </c>
      <c r="I413" s="1850" t="s">
        <v>1622</v>
      </c>
    </row>
    <row r="414" ht="11.25" customHeight="1">
      <c r="A414" s="1850" t="s">
        <v>2248</v>
      </c>
      <c r="B414" s="1850" t="s">
        <v>16</v>
      </c>
      <c r="C414" s="1850" t="s">
        <v>3019</v>
      </c>
      <c r="D414" s="1850" t="s">
        <v>3020</v>
      </c>
      <c r="E414" s="1850" t="s">
        <v>3021</v>
      </c>
      <c r="F414" s="1850" t="s">
        <v>2264</v>
      </c>
      <c r="G414" s="1850" t="s">
        <v>3022</v>
      </c>
      <c r="H414" s="1850" t="s">
        <v>22</v>
      </c>
      <c r="I414" s="1850" t="s">
        <v>1622</v>
      </c>
    </row>
    <row r="415" ht="11.25" customHeight="1">
      <c r="A415" s="1850" t="s">
        <v>2248</v>
      </c>
      <c r="B415" s="1850" t="s">
        <v>16</v>
      </c>
      <c r="C415" s="1850" t="s">
        <v>3023</v>
      </c>
      <c r="D415" s="1850" t="s">
        <v>3024</v>
      </c>
      <c r="E415" s="1850" t="s">
        <v>3025</v>
      </c>
      <c r="F415" s="1850" t="s">
        <v>3026</v>
      </c>
      <c r="G415" s="1850" t="s">
        <v>22</v>
      </c>
      <c r="H415" s="1850" t="s">
        <v>22</v>
      </c>
      <c r="I415" s="1850" t="s">
        <v>1622</v>
      </c>
    </row>
    <row r="416" ht="11.25" customHeight="1">
      <c r="A416" s="1850" t="s">
        <v>2248</v>
      </c>
      <c r="B416" s="1850" t="s">
        <v>16</v>
      </c>
      <c r="C416" s="1850" t="s">
        <v>3027</v>
      </c>
      <c r="D416" s="1850" t="s">
        <v>3028</v>
      </c>
      <c r="E416" s="1850" t="s">
        <v>3029</v>
      </c>
      <c r="F416" s="1850" t="s">
        <v>2264</v>
      </c>
      <c r="G416" s="1850" t="s">
        <v>3030</v>
      </c>
      <c r="H416" s="1850" t="s">
        <v>22</v>
      </c>
      <c r="I416" s="1850" t="s">
        <v>1622</v>
      </c>
    </row>
    <row r="417" ht="11.25" customHeight="1">
      <c r="A417" s="1850" t="s">
        <v>2248</v>
      </c>
      <c r="B417" s="1850" t="s">
        <v>16</v>
      </c>
      <c r="C417" s="1850" t="s">
        <v>3031</v>
      </c>
      <c r="D417" s="1850" t="s">
        <v>3032</v>
      </c>
      <c r="E417" s="1850" t="s">
        <v>3033</v>
      </c>
      <c r="F417" s="1850" t="s">
        <v>2378</v>
      </c>
      <c r="G417" s="1850" t="s">
        <v>3034</v>
      </c>
      <c r="H417" s="1850" t="s">
        <v>22</v>
      </c>
      <c r="I417" s="1850" t="s">
        <v>1622</v>
      </c>
    </row>
    <row r="418" ht="11.25" customHeight="1">
      <c r="A418" s="1850" t="s">
        <v>2248</v>
      </c>
      <c r="B418" s="1850" t="s">
        <v>16</v>
      </c>
      <c r="C418" s="1850" t="s">
        <v>2896</v>
      </c>
      <c r="D418" s="1850" t="s">
        <v>2897</v>
      </c>
      <c r="E418" s="1850" t="s">
        <v>2898</v>
      </c>
      <c r="F418" s="1850" t="s">
        <v>2708</v>
      </c>
      <c r="G418" s="1850" t="s">
        <v>2899</v>
      </c>
      <c r="H418" s="1850" t="s">
        <v>22</v>
      </c>
      <c r="I418" s="1850" t="s">
        <v>1622</v>
      </c>
    </row>
    <row r="419" ht="11.25" customHeight="1">
      <c r="A419" s="1850" t="s">
        <v>2248</v>
      </c>
      <c r="B419" s="1850" t="s">
        <v>16</v>
      </c>
      <c r="C419" s="1850" t="s">
        <v>3035</v>
      </c>
      <c r="D419" s="1850" t="s">
        <v>3036</v>
      </c>
      <c r="E419" s="1850" t="s">
        <v>3037</v>
      </c>
      <c r="F419" s="1850" t="s">
        <v>2268</v>
      </c>
      <c r="G419" s="1850" t="s">
        <v>22</v>
      </c>
      <c r="H419" s="1850" t="s">
        <v>22</v>
      </c>
      <c r="I419" s="1850" t="s">
        <v>1622</v>
      </c>
    </row>
    <row r="420" ht="11.25" customHeight="1">
      <c r="A420" s="1850" t="s">
        <v>2248</v>
      </c>
      <c r="B420" s="1850" t="s">
        <v>16</v>
      </c>
      <c r="C420" s="1850" t="s">
        <v>2903</v>
      </c>
      <c r="D420" s="1850" t="s">
        <v>2904</v>
      </c>
      <c r="E420" s="1850" t="s">
        <v>2905</v>
      </c>
      <c r="F420" s="1850" t="s">
        <v>2335</v>
      </c>
      <c r="G420" s="1850" t="s">
        <v>22</v>
      </c>
      <c r="H420" s="1850" t="s">
        <v>22</v>
      </c>
      <c r="I420" s="1850" t="s">
        <v>1622</v>
      </c>
    </row>
    <row r="421" ht="11.25" customHeight="1">
      <c r="A421" s="1850" t="s">
        <v>2248</v>
      </c>
      <c r="B421" s="1850" t="s">
        <v>16</v>
      </c>
      <c r="C421" s="1850" t="s">
        <v>3038</v>
      </c>
      <c r="D421" s="1850" t="s">
        <v>3039</v>
      </c>
      <c r="E421" s="1850" t="s">
        <v>3040</v>
      </c>
      <c r="F421" s="1850" t="s">
        <v>2368</v>
      </c>
      <c r="G421" s="1850" t="s">
        <v>3041</v>
      </c>
      <c r="H421" s="1850" t="s">
        <v>22</v>
      </c>
      <c r="I421" s="1850" t="s">
        <v>1622</v>
      </c>
    </row>
    <row r="422" ht="11.25" customHeight="1">
      <c r="A422" s="1850" t="s">
        <v>2248</v>
      </c>
      <c r="B422" s="1850" t="s">
        <v>16</v>
      </c>
      <c r="C422" s="1850" t="s">
        <v>3042</v>
      </c>
      <c r="D422" s="1850" t="s">
        <v>3043</v>
      </c>
      <c r="E422" s="1850" t="s">
        <v>3044</v>
      </c>
      <c r="F422" s="1850" t="s">
        <v>2393</v>
      </c>
      <c r="G422" s="1850" t="s">
        <v>3045</v>
      </c>
      <c r="H422" s="1850" t="s">
        <v>22</v>
      </c>
      <c r="I422" s="1850" t="s">
        <v>1622</v>
      </c>
    </row>
    <row r="423" ht="11.25" customHeight="1">
      <c r="A423" s="1850" t="s">
        <v>2248</v>
      </c>
      <c r="B423" s="1850" t="s">
        <v>16</v>
      </c>
      <c r="C423" s="1850" t="s">
        <v>13</v>
      </c>
      <c r="D423" s="1850" t="s">
        <v>46</v>
      </c>
      <c r="E423" s="1850" t="s">
        <v>49</v>
      </c>
      <c r="F423" s="1850" t="s">
        <v>51</v>
      </c>
      <c r="G423" s="1850" t="s">
        <v>2629</v>
      </c>
      <c r="H423" s="1850" t="s">
        <v>22</v>
      </c>
      <c r="I423" s="1850" t="s">
        <v>1622</v>
      </c>
    </row>
  </sheetData>
  <sheetProtection autoFilter="0" deleteColumns="0" deleteRows="0" formatColumns="0" formatRows="0" insertColumns="1" insertRows="0" sort="0"/>
  <pageMargins left="0.75" right="0.75" top="1" bottom="1" header="0.5" footer="0.5"/>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sheetPr>
  <sheetViews>
    <sheetView showGridLines="0" topLeftCell="A1" workbookViewId="0">
      <selection activeCell="A1" sqref="A1"/>
    </sheetView>
  </sheetViews>
  <sheetFormatPr defaultRowHeight="11.25" customHeight="1"/>
  <cols>
    <col min="1" max="1" style="1850" width="9.140625"/>
  </cols>
  <sheetData>
    <row r="1" ht="11.25" customHeight="1">
      <c r="A1" s="373" t="s">
        <v>3046</v>
      </c>
      <c r="B1" s="64" t="s">
        <v>3047</v>
      </c>
      <c r="C1" s="64" t="s">
        <v>3048</v>
      </c>
      <c r="D1" s="64" t="s">
        <v>3049</v>
      </c>
      <c r="E1" t="s">
        <v>3050</v>
      </c>
      <c r="F1" t="s">
        <v>3051</v>
      </c>
      <c r="G1" t="s">
        <v>3052</v>
      </c>
    </row>
    <row r="2" ht="11.25" customHeight="1">
      <c r="A2" s="373" t="s">
        <v>16</v>
      </c>
      <c r="B2" t="s">
        <v>3053</v>
      </c>
      <c r="C2" t="s">
        <v>3054</v>
      </c>
      <c r="D2" t="s">
        <v>3053</v>
      </c>
      <c r="E2" t="s">
        <v>3054</v>
      </c>
      <c r="F2" t="s">
        <v>3055</v>
      </c>
      <c r="G2" t="s">
        <v>109</v>
      </c>
    </row>
    <row r="3" ht="11.25" customHeight="1">
      <c r="A3" s="373" t="s">
        <v>16</v>
      </c>
      <c r="B3" t="s">
        <v>3056</v>
      </c>
      <c r="C3" t="s">
        <v>3057</v>
      </c>
      <c r="D3" t="s">
        <v>3056</v>
      </c>
      <c r="E3" t="s">
        <v>3057</v>
      </c>
      <c r="F3" t="s">
        <v>3058</v>
      </c>
      <c r="G3" t="s">
        <v>110</v>
      </c>
    </row>
    <row r="4" ht="11.25" customHeight="1">
      <c r="A4" s="373" t="s">
        <v>16</v>
      </c>
      <c r="B4" t="s">
        <v>3056</v>
      </c>
      <c r="C4" t="s">
        <v>3057</v>
      </c>
      <c r="D4" t="s">
        <v>3059</v>
      </c>
      <c r="E4" t="s">
        <v>3060</v>
      </c>
      <c r="F4" t="s">
        <v>3061</v>
      </c>
      <c r="G4" t="s">
        <v>89</v>
      </c>
    </row>
    <row r="5" ht="11.25" customHeight="1">
      <c r="A5" s="373" t="s">
        <v>16</v>
      </c>
      <c r="B5" t="s">
        <v>3056</v>
      </c>
      <c r="C5" t="s">
        <v>3057</v>
      </c>
      <c r="D5" t="s">
        <v>3062</v>
      </c>
      <c r="E5" t="s">
        <v>3063</v>
      </c>
      <c r="F5" t="s">
        <v>3064</v>
      </c>
      <c r="G5" t="s">
        <v>90</v>
      </c>
    </row>
    <row r="6" ht="11.25" customHeight="1">
      <c r="A6" s="373" t="s">
        <v>16</v>
      </c>
      <c r="B6" t="s">
        <v>3056</v>
      </c>
      <c r="C6" t="s">
        <v>3057</v>
      </c>
      <c r="D6" t="s">
        <v>3065</v>
      </c>
      <c r="E6" t="s">
        <v>3066</v>
      </c>
      <c r="F6" t="s">
        <v>3064</v>
      </c>
      <c r="G6" t="s">
        <v>111</v>
      </c>
    </row>
    <row r="7" ht="11.25" customHeight="1">
      <c r="A7" s="373" t="s">
        <v>16</v>
      </c>
      <c r="B7" t="s">
        <v>3056</v>
      </c>
      <c r="C7" t="s">
        <v>3057</v>
      </c>
      <c r="D7" t="s">
        <v>3067</v>
      </c>
      <c r="E7" t="s">
        <v>3068</v>
      </c>
      <c r="F7" t="s">
        <v>3064</v>
      </c>
      <c r="G7" t="s">
        <v>91</v>
      </c>
    </row>
    <row r="8" ht="11.25" customHeight="1">
      <c r="A8" s="373" t="s">
        <v>16</v>
      </c>
      <c r="B8" t="s">
        <v>3056</v>
      </c>
      <c r="C8" t="s">
        <v>3057</v>
      </c>
      <c r="D8" t="s">
        <v>3069</v>
      </c>
      <c r="E8" t="s">
        <v>3070</v>
      </c>
      <c r="F8" t="s">
        <v>3064</v>
      </c>
      <c r="G8" t="s">
        <v>92</v>
      </c>
    </row>
    <row r="9" ht="11.25" customHeight="1">
      <c r="A9" s="373" t="s">
        <v>16</v>
      </c>
      <c r="B9" t="s">
        <v>3056</v>
      </c>
      <c r="C9" t="s">
        <v>3057</v>
      </c>
      <c r="D9" t="s">
        <v>3071</v>
      </c>
      <c r="E9" t="s">
        <v>3072</v>
      </c>
      <c r="F9" t="s">
        <v>3064</v>
      </c>
      <c r="G9" t="s">
        <v>112</v>
      </c>
    </row>
    <row r="10" ht="11.25" customHeight="1">
      <c r="A10" s="373" t="s">
        <v>16</v>
      </c>
      <c r="B10" t="s">
        <v>3073</v>
      </c>
      <c r="C10" t="s">
        <v>3074</v>
      </c>
      <c r="D10" t="s">
        <v>3073</v>
      </c>
      <c r="E10" t="s">
        <v>3074</v>
      </c>
      <c r="F10" t="s">
        <v>3075</v>
      </c>
      <c r="G10" t="s">
        <v>152</v>
      </c>
    </row>
    <row r="11" ht="11.25" customHeight="1">
      <c r="A11" s="373" t="s">
        <v>16</v>
      </c>
      <c r="B11" t="s">
        <v>3076</v>
      </c>
      <c r="C11" t="s">
        <v>3077</v>
      </c>
      <c r="D11" t="s">
        <v>3076</v>
      </c>
      <c r="E11" t="s">
        <v>3077</v>
      </c>
      <c r="F11" t="s">
        <v>3075</v>
      </c>
      <c r="G11" t="s">
        <v>153</v>
      </c>
    </row>
    <row r="12" ht="11.25" customHeight="1">
      <c r="A12" s="373" t="s">
        <v>16</v>
      </c>
      <c r="B12" t="s">
        <v>3078</v>
      </c>
      <c r="C12" t="s">
        <v>3079</v>
      </c>
      <c r="D12" t="s">
        <v>3078</v>
      </c>
      <c r="E12" t="s">
        <v>3079</v>
      </c>
      <c r="F12" t="s">
        <v>3075</v>
      </c>
      <c r="G12" t="s">
        <v>154</v>
      </c>
    </row>
    <row r="13" ht="11.25" customHeight="1">
      <c r="A13" s="373" t="s">
        <v>16</v>
      </c>
      <c r="B13" t="s">
        <v>3080</v>
      </c>
      <c r="C13" t="s">
        <v>3081</v>
      </c>
      <c r="D13" t="s">
        <v>3080</v>
      </c>
      <c r="E13" t="s">
        <v>3081</v>
      </c>
      <c r="F13" t="s">
        <v>3075</v>
      </c>
      <c r="G13" t="s">
        <v>155</v>
      </c>
    </row>
    <row r="14" ht="11.25" customHeight="1">
      <c r="A14" s="373" t="s">
        <v>16</v>
      </c>
      <c r="B14" t="s">
        <v>3082</v>
      </c>
      <c r="C14" t="s">
        <v>3083</v>
      </c>
      <c r="D14" t="s">
        <v>3082</v>
      </c>
      <c r="E14" t="s">
        <v>3083</v>
      </c>
      <c r="F14" t="s">
        <v>3055</v>
      </c>
      <c r="G14" t="s">
        <v>156</v>
      </c>
    </row>
    <row r="15" ht="11.25" customHeight="1">
      <c r="A15" s="373" t="s">
        <v>16</v>
      </c>
      <c r="B15" t="s">
        <v>3084</v>
      </c>
      <c r="C15" t="s">
        <v>3085</v>
      </c>
      <c r="D15" t="s">
        <v>3086</v>
      </c>
      <c r="E15" t="s">
        <v>3087</v>
      </c>
      <c r="F15" t="s">
        <v>3064</v>
      </c>
      <c r="G15" t="s">
        <v>157</v>
      </c>
    </row>
    <row r="16" ht="11.25" customHeight="1">
      <c r="A16" s="373" t="s">
        <v>16</v>
      </c>
      <c r="B16" t="s">
        <v>3084</v>
      </c>
      <c r="C16" t="s">
        <v>3085</v>
      </c>
      <c r="D16" t="s">
        <v>3084</v>
      </c>
      <c r="E16" t="s">
        <v>3085</v>
      </c>
      <c r="F16" t="s">
        <v>3058</v>
      </c>
      <c r="G16" t="s">
        <v>1465</v>
      </c>
    </row>
    <row r="17" ht="11.25" customHeight="1">
      <c r="A17" s="373" t="s">
        <v>16</v>
      </c>
      <c r="B17" t="s">
        <v>3084</v>
      </c>
      <c r="C17" t="s">
        <v>3085</v>
      </c>
      <c r="D17" t="s">
        <v>3088</v>
      </c>
      <c r="E17" t="s">
        <v>3089</v>
      </c>
      <c r="F17" t="s">
        <v>3061</v>
      </c>
      <c r="G17" t="s">
        <v>1471</v>
      </c>
    </row>
    <row r="18" ht="11.25" customHeight="1">
      <c r="A18" s="373" t="s">
        <v>16</v>
      </c>
      <c r="B18" t="s">
        <v>3084</v>
      </c>
      <c r="C18" t="s">
        <v>3085</v>
      </c>
      <c r="D18" t="s">
        <v>3090</v>
      </c>
      <c r="E18" t="s">
        <v>3091</v>
      </c>
      <c r="F18" t="s">
        <v>3064</v>
      </c>
      <c r="G18" t="s">
        <v>1483</v>
      </c>
    </row>
    <row r="19" ht="11.25" customHeight="1">
      <c r="A19" s="373" t="s">
        <v>16</v>
      </c>
      <c r="B19" t="s">
        <v>3084</v>
      </c>
      <c r="C19" t="s">
        <v>3085</v>
      </c>
      <c r="D19" t="s">
        <v>3092</v>
      </c>
      <c r="E19" t="s">
        <v>3093</v>
      </c>
      <c r="F19" t="s">
        <v>3064</v>
      </c>
      <c r="G19" t="s">
        <v>1497</v>
      </c>
    </row>
    <row r="20" ht="11.25" customHeight="1">
      <c r="A20" s="373" t="s">
        <v>16</v>
      </c>
      <c r="B20" t="s">
        <v>3084</v>
      </c>
      <c r="C20" t="s">
        <v>3085</v>
      </c>
      <c r="D20" t="s">
        <v>3094</v>
      </c>
      <c r="E20" t="s">
        <v>3095</v>
      </c>
      <c r="F20" t="s">
        <v>3064</v>
      </c>
      <c r="G20" t="s">
        <v>1509</v>
      </c>
    </row>
    <row r="21" ht="11.25" customHeight="1">
      <c r="A21" s="373" t="s">
        <v>16</v>
      </c>
      <c r="B21" t="s">
        <v>3084</v>
      </c>
      <c r="C21" t="s">
        <v>3085</v>
      </c>
      <c r="D21" t="s">
        <v>3096</v>
      </c>
      <c r="E21" t="s">
        <v>3097</v>
      </c>
      <c r="F21" t="s">
        <v>3064</v>
      </c>
      <c r="G21" t="s">
        <v>1518</v>
      </c>
    </row>
    <row r="22" ht="11.25" customHeight="1">
      <c r="A22" s="373" t="s">
        <v>16</v>
      </c>
      <c r="B22" t="s">
        <v>3098</v>
      </c>
      <c r="C22" t="s">
        <v>3099</v>
      </c>
      <c r="D22" t="s">
        <v>3098</v>
      </c>
      <c r="E22" t="s">
        <v>3099</v>
      </c>
      <c r="F22" t="s">
        <v>3055</v>
      </c>
      <c r="G22" t="s">
        <v>1534</v>
      </c>
    </row>
    <row r="23" ht="11.25" customHeight="1">
      <c r="A23" s="373" t="s">
        <v>16</v>
      </c>
      <c r="B23" t="s">
        <v>3100</v>
      </c>
      <c r="C23" t="s">
        <v>3101</v>
      </c>
      <c r="D23" t="s">
        <v>3102</v>
      </c>
      <c r="E23" t="s">
        <v>3103</v>
      </c>
      <c r="F23" t="s">
        <v>3064</v>
      </c>
      <c r="G23" t="s">
        <v>1541</v>
      </c>
    </row>
    <row r="24" ht="11.25" customHeight="1">
      <c r="A24" s="373" t="s">
        <v>16</v>
      </c>
      <c r="B24" t="s">
        <v>3100</v>
      </c>
      <c r="C24" t="s">
        <v>3101</v>
      </c>
      <c r="D24" t="s">
        <v>3104</v>
      </c>
      <c r="E24" t="s">
        <v>3105</v>
      </c>
      <c r="F24" t="s">
        <v>3064</v>
      </c>
      <c r="G24" t="s">
        <v>1549</v>
      </c>
    </row>
    <row r="25" ht="11.25" customHeight="1">
      <c r="A25" s="373" t="s">
        <v>16</v>
      </c>
      <c r="B25" t="s">
        <v>3100</v>
      </c>
      <c r="C25" t="s">
        <v>3101</v>
      </c>
      <c r="D25" t="s">
        <v>3106</v>
      </c>
      <c r="E25" t="s">
        <v>3107</v>
      </c>
      <c r="F25" t="s">
        <v>3064</v>
      </c>
      <c r="G25" t="s">
        <v>1556</v>
      </c>
    </row>
    <row r="26" ht="11.25" customHeight="1">
      <c r="A26" s="373" t="s">
        <v>16</v>
      </c>
      <c r="B26" t="s">
        <v>3100</v>
      </c>
      <c r="C26" t="s">
        <v>3101</v>
      </c>
      <c r="D26" t="s">
        <v>3108</v>
      </c>
      <c r="E26" t="s">
        <v>3109</v>
      </c>
      <c r="F26" t="s">
        <v>3064</v>
      </c>
      <c r="G26" t="s">
        <v>1560</v>
      </c>
    </row>
    <row r="27" ht="11.25" customHeight="1">
      <c r="A27" s="373" t="s">
        <v>16</v>
      </c>
      <c r="B27" t="s">
        <v>3100</v>
      </c>
      <c r="C27" t="s">
        <v>3101</v>
      </c>
      <c r="D27" t="s">
        <v>3100</v>
      </c>
      <c r="E27" t="s">
        <v>3101</v>
      </c>
      <c r="F27" t="s">
        <v>3058</v>
      </c>
      <c r="G27" t="s">
        <v>1565</v>
      </c>
    </row>
    <row r="28" ht="11.25" customHeight="1">
      <c r="A28" s="373" t="s">
        <v>16</v>
      </c>
      <c r="B28" t="s">
        <v>3100</v>
      </c>
      <c r="C28" t="s">
        <v>3101</v>
      </c>
      <c r="D28" t="s">
        <v>3110</v>
      </c>
      <c r="E28" t="s">
        <v>3111</v>
      </c>
      <c r="F28" t="s">
        <v>3064</v>
      </c>
      <c r="G28" t="s">
        <v>1573</v>
      </c>
    </row>
    <row r="29" ht="11.25" customHeight="1">
      <c r="A29" s="373" t="s">
        <v>16</v>
      </c>
      <c r="B29" t="s">
        <v>3100</v>
      </c>
      <c r="C29" t="s">
        <v>3101</v>
      </c>
      <c r="D29" t="s">
        <v>3112</v>
      </c>
      <c r="E29" t="s">
        <v>3113</v>
      </c>
      <c r="F29" t="s">
        <v>3064</v>
      </c>
      <c r="G29" t="s">
        <v>1575</v>
      </c>
    </row>
    <row r="30" ht="11.25" customHeight="1">
      <c r="A30" s="373" t="s">
        <v>16</v>
      </c>
      <c r="B30" t="s">
        <v>3100</v>
      </c>
      <c r="C30" t="s">
        <v>3101</v>
      </c>
      <c r="D30" t="s">
        <v>3114</v>
      </c>
      <c r="E30" t="s">
        <v>3115</v>
      </c>
      <c r="F30" t="s">
        <v>3064</v>
      </c>
      <c r="G30" t="s">
        <v>1578</v>
      </c>
    </row>
    <row r="31" ht="11.25" customHeight="1">
      <c r="A31" s="373" t="s">
        <v>16</v>
      </c>
      <c r="B31" t="s">
        <v>3116</v>
      </c>
      <c r="C31" t="s">
        <v>3117</v>
      </c>
      <c r="D31" t="s">
        <v>3116</v>
      </c>
      <c r="E31" t="s">
        <v>3117</v>
      </c>
      <c r="F31" t="s">
        <v>3055</v>
      </c>
      <c r="G31" t="s">
        <v>1584</v>
      </c>
    </row>
    <row r="32" ht="11.25" customHeight="1">
      <c r="A32" s="373" t="s">
        <v>16</v>
      </c>
      <c r="B32" t="s">
        <v>3118</v>
      </c>
      <c r="C32" t="s">
        <v>3119</v>
      </c>
      <c r="D32" t="s">
        <v>3120</v>
      </c>
      <c r="E32" t="s">
        <v>3121</v>
      </c>
      <c r="F32" t="s">
        <v>3064</v>
      </c>
      <c r="G32" t="s">
        <v>1586</v>
      </c>
    </row>
    <row r="33" ht="11.25" customHeight="1">
      <c r="A33" s="373" t="s">
        <v>16</v>
      </c>
      <c r="B33" t="s">
        <v>3118</v>
      </c>
      <c r="C33" t="s">
        <v>3119</v>
      </c>
      <c r="D33" t="s">
        <v>3122</v>
      </c>
      <c r="E33" t="s">
        <v>3123</v>
      </c>
      <c r="F33" t="s">
        <v>3064</v>
      </c>
      <c r="G33" t="s">
        <v>1588</v>
      </c>
    </row>
    <row r="34" ht="11.25" customHeight="1">
      <c r="A34" s="373" t="s">
        <v>16</v>
      </c>
      <c r="B34" t="s">
        <v>3118</v>
      </c>
      <c r="C34" t="s">
        <v>3119</v>
      </c>
      <c r="D34" t="s">
        <v>3118</v>
      </c>
      <c r="E34" t="s">
        <v>3119</v>
      </c>
      <c r="F34" t="s">
        <v>3058</v>
      </c>
      <c r="G34" t="s">
        <v>1590</v>
      </c>
    </row>
    <row r="35" ht="11.25" customHeight="1">
      <c r="A35" s="373" t="s">
        <v>16</v>
      </c>
      <c r="B35" t="s">
        <v>3118</v>
      </c>
      <c r="C35" t="s">
        <v>3119</v>
      </c>
      <c r="D35" t="s">
        <v>3124</v>
      </c>
      <c r="E35" t="s">
        <v>3125</v>
      </c>
      <c r="F35" t="s">
        <v>3061</v>
      </c>
      <c r="G35" t="s">
        <v>1595</v>
      </c>
    </row>
    <row r="36" ht="11.25" customHeight="1">
      <c r="A36" s="373" t="s">
        <v>16</v>
      </c>
      <c r="B36" t="s">
        <v>3118</v>
      </c>
      <c r="C36" t="s">
        <v>3119</v>
      </c>
      <c r="D36" t="s">
        <v>3126</v>
      </c>
      <c r="E36" t="s">
        <v>3127</v>
      </c>
      <c r="F36" t="s">
        <v>3064</v>
      </c>
      <c r="G36" t="s">
        <v>1600</v>
      </c>
    </row>
    <row r="37" ht="11.25" customHeight="1">
      <c r="A37" s="373" t="s">
        <v>16</v>
      </c>
      <c r="B37" t="s">
        <v>3118</v>
      </c>
      <c r="C37" t="s">
        <v>3119</v>
      </c>
      <c r="D37" t="s">
        <v>3128</v>
      </c>
      <c r="E37" t="s">
        <v>3129</v>
      </c>
      <c r="F37" t="s">
        <v>3064</v>
      </c>
      <c r="G37" t="s">
        <v>1604</v>
      </c>
    </row>
    <row r="38" ht="11.25" customHeight="1">
      <c r="A38" s="373" t="s">
        <v>16</v>
      </c>
      <c r="B38" t="s">
        <v>3130</v>
      </c>
      <c r="C38" t="s">
        <v>3131</v>
      </c>
      <c r="D38" t="s">
        <v>3130</v>
      </c>
      <c r="E38" t="s">
        <v>3131</v>
      </c>
      <c r="F38" t="s">
        <v>3055</v>
      </c>
      <c r="G38" t="s">
        <v>1612</v>
      </c>
    </row>
    <row r="39" ht="11.25" customHeight="1">
      <c r="A39" s="373" t="s">
        <v>16</v>
      </c>
      <c r="B39" t="s">
        <v>3132</v>
      </c>
      <c r="C39" t="s">
        <v>3133</v>
      </c>
      <c r="D39" t="s">
        <v>3134</v>
      </c>
      <c r="E39" t="s">
        <v>3135</v>
      </c>
      <c r="F39" t="s">
        <v>3064</v>
      </c>
      <c r="G39" t="s">
        <v>1618</v>
      </c>
    </row>
    <row r="40" ht="11.25" customHeight="1">
      <c r="A40" s="373" t="s">
        <v>16</v>
      </c>
      <c r="B40" t="s">
        <v>3132</v>
      </c>
      <c r="C40" t="s">
        <v>3133</v>
      </c>
      <c r="D40" t="s">
        <v>3136</v>
      </c>
      <c r="E40" t="s">
        <v>3137</v>
      </c>
      <c r="F40" t="s">
        <v>3064</v>
      </c>
      <c r="G40" t="s">
        <v>1623</v>
      </c>
    </row>
    <row r="41" ht="11.25" customHeight="1">
      <c r="A41" s="373" t="s">
        <v>16</v>
      </c>
      <c r="B41" t="s">
        <v>3132</v>
      </c>
      <c r="C41" t="s">
        <v>3133</v>
      </c>
      <c r="D41" t="s">
        <v>3138</v>
      </c>
      <c r="E41" t="s">
        <v>3139</v>
      </c>
      <c r="F41" t="s">
        <v>3064</v>
      </c>
      <c r="G41" t="s">
        <v>1627</v>
      </c>
    </row>
    <row r="42" ht="11.25" customHeight="1">
      <c r="A42" s="373" t="s">
        <v>16</v>
      </c>
      <c r="B42" t="s">
        <v>3132</v>
      </c>
      <c r="C42" t="s">
        <v>3133</v>
      </c>
      <c r="D42" t="s">
        <v>3140</v>
      </c>
      <c r="E42" t="s">
        <v>3141</v>
      </c>
      <c r="F42" t="s">
        <v>3064</v>
      </c>
      <c r="G42" t="s">
        <v>1630</v>
      </c>
    </row>
    <row r="43" ht="11.25" customHeight="1">
      <c r="A43" s="373" t="s">
        <v>16</v>
      </c>
      <c r="B43" t="s">
        <v>3132</v>
      </c>
      <c r="C43" t="s">
        <v>3133</v>
      </c>
      <c r="D43" t="s">
        <v>3142</v>
      </c>
      <c r="E43" t="s">
        <v>3143</v>
      </c>
      <c r="F43" t="s">
        <v>3061</v>
      </c>
      <c r="G43" t="s">
        <v>1637</v>
      </c>
    </row>
    <row r="44" ht="11.25" customHeight="1">
      <c r="A44" s="373" t="s">
        <v>16</v>
      </c>
      <c r="B44" t="s">
        <v>3132</v>
      </c>
      <c r="C44" t="s">
        <v>3133</v>
      </c>
      <c r="D44" t="s">
        <v>3144</v>
      </c>
      <c r="E44" t="s">
        <v>3145</v>
      </c>
      <c r="F44" t="s">
        <v>3064</v>
      </c>
      <c r="G44" t="s">
        <v>1646</v>
      </c>
    </row>
    <row r="45" ht="11.25" customHeight="1">
      <c r="A45" s="373" t="s">
        <v>16</v>
      </c>
      <c r="B45" t="s">
        <v>3132</v>
      </c>
      <c r="C45" t="s">
        <v>3133</v>
      </c>
      <c r="D45" t="s">
        <v>3146</v>
      </c>
      <c r="E45" t="s">
        <v>3147</v>
      </c>
      <c r="F45" t="s">
        <v>3061</v>
      </c>
      <c r="G45" t="s">
        <v>1651</v>
      </c>
    </row>
    <row r="46" ht="11.25" customHeight="1">
      <c r="A46" s="373" t="s">
        <v>16</v>
      </c>
      <c r="B46" t="s">
        <v>3132</v>
      </c>
      <c r="C46" t="s">
        <v>3133</v>
      </c>
      <c r="D46" t="s">
        <v>3148</v>
      </c>
      <c r="E46" t="s">
        <v>3149</v>
      </c>
      <c r="F46" t="s">
        <v>3064</v>
      </c>
      <c r="G46" t="s">
        <v>1654</v>
      </c>
    </row>
    <row r="47" ht="11.25" customHeight="1">
      <c r="A47" s="373" t="s">
        <v>16</v>
      </c>
      <c r="B47" t="s">
        <v>3132</v>
      </c>
      <c r="C47" t="s">
        <v>3133</v>
      </c>
      <c r="D47" t="s">
        <v>3150</v>
      </c>
      <c r="E47" t="s">
        <v>3151</v>
      </c>
      <c r="F47" t="s">
        <v>3064</v>
      </c>
      <c r="G47" t="s">
        <v>1660</v>
      </c>
    </row>
    <row r="48" ht="11.25" customHeight="1">
      <c r="A48" s="373" t="s">
        <v>16</v>
      </c>
      <c r="B48" t="s">
        <v>3132</v>
      </c>
      <c r="C48" t="s">
        <v>3133</v>
      </c>
      <c r="D48" t="s">
        <v>3132</v>
      </c>
      <c r="E48" t="s">
        <v>3133</v>
      </c>
      <c r="F48" t="s">
        <v>3058</v>
      </c>
      <c r="G48" t="s">
        <v>1665</v>
      </c>
    </row>
    <row r="49" ht="11.25" customHeight="1">
      <c r="A49" s="373" t="s">
        <v>16</v>
      </c>
      <c r="B49" t="s">
        <v>3132</v>
      </c>
      <c r="C49" t="s">
        <v>3133</v>
      </c>
      <c r="D49" t="s">
        <v>3152</v>
      </c>
      <c r="E49" t="s">
        <v>3153</v>
      </c>
      <c r="F49" t="s">
        <v>3064</v>
      </c>
      <c r="G49" t="s">
        <v>1668</v>
      </c>
    </row>
    <row r="50" ht="11.25" customHeight="1">
      <c r="A50" s="373" t="s">
        <v>16</v>
      </c>
      <c r="B50" t="s">
        <v>3132</v>
      </c>
      <c r="C50" t="s">
        <v>3133</v>
      </c>
      <c r="D50" t="s">
        <v>3154</v>
      </c>
      <c r="E50" t="s">
        <v>3155</v>
      </c>
      <c r="F50" t="s">
        <v>3064</v>
      </c>
      <c r="G50" t="s">
        <v>1672</v>
      </c>
    </row>
    <row r="51" ht="11.25" customHeight="1">
      <c r="A51" s="373" t="s">
        <v>16</v>
      </c>
      <c r="B51" t="s">
        <v>3132</v>
      </c>
      <c r="C51" t="s">
        <v>3133</v>
      </c>
      <c r="D51" t="s">
        <v>3156</v>
      </c>
      <c r="E51" t="s">
        <v>3157</v>
      </c>
      <c r="F51" t="s">
        <v>3064</v>
      </c>
      <c r="G51" t="s">
        <v>1677</v>
      </c>
    </row>
    <row r="52" ht="11.25" customHeight="1">
      <c r="A52" s="373" t="s">
        <v>16</v>
      </c>
      <c r="B52" t="s">
        <v>3132</v>
      </c>
      <c r="C52" t="s">
        <v>3133</v>
      </c>
      <c r="D52" t="s">
        <v>3158</v>
      </c>
      <c r="E52" t="s">
        <v>3159</v>
      </c>
      <c r="F52" t="s">
        <v>3064</v>
      </c>
      <c r="G52" t="s">
        <v>1681</v>
      </c>
    </row>
    <row r="53" ht="11.25" customHeight="1">
      <c r="A53" s="373" t="s">
        <v>16</v>
      </c>
      <c r="B53" t="s">
        <v>3132</v>
      </c>
      <c r="C53" t="s">
        <v>3133</v>
      </c>
      <c r="D53" t="s">
        <v>3160</v>
      </c>
      <c r="E53" t="s">
        <v>3161</v>
      </c>
      <c r="F53" t="s">
        <v>3064</v>
      </c>
      <c r="G53" t="s">
        <v>1683</v>
      </c>
    </row>
    <row r="54" ht="11.25" customHeight="1">
      <c r="A54" s="373" t="s">
        <v>16</v>
      </c>
      <c r="B54" t="s">
        <v>3132</v>
      </c>
      <c r="C54" t="s">
        <v>3133</v>
      </c>
      <c r="D54" t="s">
        <v>3162</v>
      </c>
      <c r="E54" t="s">
        <v>3163</v>
      </c>
      <c r="F54" t="s">
        <v>3064</v>
      </c>
      <c r="G54" t="s">
        <v>1686</v>
      </c>
    </row>
    <row r="55" ht="11.25" customHeight="1">
      <c r="A55" s="373" t="s">
        <v>16</v>
      </c>
      <c r="B55" t="s">
        <v>3132</v>
      </c>
      <c r="C55" t="s">
        <v>3133</v>
      </c>
      <c r="D55" t="s">
        <v>3164</v>
      </c>
      <c r="E55" t="s">
        <v>3165</v>
      </c>
      <c r="F55" t="s">
        <v>3064</v>
      </c>
      <c r="G55" t="s">
        <v>1690</v>
      </c>
    </row>
    <row r="56" ht="11.25" customHeight="1">
      <c r="A56" s="373" t="s">
        <v>16</v>
      </c>
      <c r="B56" t="s">
        <v>3132</v>
      </c>
      <c r="C56" t="s">
        <v>3133</v>
      </c>
      <c r="D56" t="s">
        <v>3166</v>
      </c>
      <c r="E56" t="s">
        <v>3167</v>
      </c>
      <c r="F56" t="s">
        <v>3064</v>
      </c>
      <c r="G56" t="s">
        <v>1693</v>
      </c>
    </row>
    <row r="57" ht="11.25" customHeight="1">
      <c r="A57" s="373" t="s">
        <v>16</v>
      </c>
      <c r="B57" t="s">
        <v>3132</v>
      </c>
      <c r="C57" t="s">
        <v>3133</v>
      </c>
      <c r="D57" t="s">
        <v>3168</v>
      </c>
      <c r="E57" t="s">
        <v>3169</v>
      </c>
      <c r="F57" t="s">
        <v>3064</v>
      </c>
      <c r="G57" t="s">
        <v>1696</v>
      </c>
    </row>
    <row r="58" ht="11.25" customHeight="1">
      <c r="A58" s="373" t="s">
        <v>16</v>
      </c>
      <c r="B58" t="s">
        <v>3132</v>
      </c>
      <c r="C58" t="s">
        <v>3133</v>
      </c>
      <c r="D58" t="s">
        <v>3170</v>
      </c>
      <c r="E58" t="s">
        <v>3171</v>
      </c>
      <c r="F58" t="s">
        <v>3064</v>
      </c>
      <c r="G58" t="s">
        <v>1699</v>
      </c>
    </row>
    <row r="59" ht="11.25" customHeight="1">
      <c r="A59" s="373" t="s">
        <v>16</v>
      </c>
      <c r="B59" t="s">
        <v>3132</v>
      </c>
      <c r="C59" t="s">
        <v>3133</v>
      </c>
      <c r="D59" t="s">
        <v>3172</v>
      </c>
      <c r="E59" t="s">
        <v>3173</v>
      </c>
      <c r="F59" t="s">
        <v>3064</v>
      </c>
      <c r="G59" t="s">
        <v>1703</v>
      </c>
    </row>
    <row r="60" ht="11.25" customHeight="1">
      <c r="A60" s="373" t="s">
        <v>16</v>
      </c>
      <c r="B60" t="s">
        <v>3132</v>
      </c>
      <c r="C60" t="s">
        <v>3133</v>
      </c>
      <c r="D60" t="s">
        <v>3174</v>
      </c>
      <c r="E60" t="s">
        <v>3175</v>
      </c>
      <c r="F60" t="s">
        <v>3061</v>
      </c>
      <c r="G60" t="s">
        <v>1706</v>
      </c>
    </row>
    <row r="61" ht="11.25" customHeight="1">
      <c r="A61" s="373" t="s">
        <v>16</v>
      </c>
      <c r="B61" t="s">
        <v>3132</v>
      </c>
      <c r="C61" t="s">
        <v>3133</v>
      </c>
      <c r="D61" t="s">
        <v>3176</v>
      </c>
      <c r="E61" t="s">
        <v>3177</v>
      </c>
      <c r="F61" t="s">
        <v>3064</v>
      </c>
      <c r="G61" t="s">
        <v>3178</v>
      </c>
    </row>
    <row r="62" ht="11.25" customHeight="1">
      <c r="A62" s="373" t="s">
        <v>16</v>
      </c>
      <c r="B62" t="s">
        <v>3132</v>
      </c>
      <c r="C62" t="s">
        <v>3133</v>
      </c>
      <c r="D62" t="s">
        <v>3179</v>
      </c>
      <c r="E62" t="s">
        <v>3180</v>
      </c>
      <c r="F62" t="s">
        <v>3064</v>
      </c>
      <c r="G62" t="s">
        <v>3181</v>
      </c>
    </row>
    <row r="63" ht="11.25" customHeight="1">
      <c r="A63" s="373" t="s">
        <v>16</v>
      </c>
      <c r="B63" t="s">
        <v>3132</v>
      </c>
      <c r="C63" t="s">
        <v>3133</v>
      </c>
      <c r="D63" t="s">
        <v>3182</v>
      </c>
      <c r="E63" t="s">
        <v>3183</v>
      </c>
      <c r="F63" t="s">
        <v>3064</v>
      </c>
      <c r="G63" t="s">
        <v>3184</v>
      </c>
    </row>
    <row r="64" ht="11.25" customHeight="1">
      <c r="A64" s="373" t="s">
        <v>16</v>
      </c>
      <c r="B64" t="s">
        <v>3185</v>
      </c>
      <c r="C64" t="s">
        <v>3186</v>
      </c>
      <c r="D64" t="s">
        <v>3185</v>
      </c>
      <c r="E64" t="s">
        <v>3186</v>
      </c>
      <c r="F64" t="s">
        <v>3055</v>
      </c>
      <c r="G64" t="s">
        <v>3187</v>
      </c>
    </row>
    <row r="65" ht="11.25" customHeight="1">
      <c r="A65" s="373" t="s">
        <v>16</v>
      </c>
      <c r="B65" t="s">
        <v>3188</v>
      </c>
      <c r="C65" t="s">
        <v>3189</v>
      </c>
      <c r="D65" t="s">
        <v>3190</v>
      </c>
      <c r="E65" t="s">
        <v>3191</v>
      </c>
      <c r="F65" t="s">
        <v>3064</v>
      </c>
      <c r="G65" t="s">
        <v>3192</v>
      </c>
    </row>
    <row r="66" ht="11.25" customHeight="1">
      <c r="A66" s="373" t="s">
        <v>16</v>
      </c>
      <c r="B66" t="s">
        <v>3188</v>
      </c>
      <c r="C66" t="s">
        <v>3189</v>
      </c>
      <c r="D66" t="s">
        <v>3193</v>
      </c>
      <c r="E66" t="s">
        <v>3194</v>
      </c>
      <c r="F66" t="s">
        <v>3064</v>
      </c>
      <c r="G66" t="s">
        <v>3195</v>
      </c>
    </row>
    <row r="67" ht="11.25" customHeight="1">
      <c r="A67" s="373" t="s">
        <v>16</v>
      </c>
      <c r="B67" t="s">
        <v>3188</v>
      </c>
      <c r="C67" t="s">
        <v>3189</v>
      </c>
      <c r="D67" t="s">
        <v>3196</v>
      </c>
      <c r="E67" t="s">
        <v>3197</v>
      </c>
      <c r="F67" t="s">
        <v>3064</v>
      </c>
      <c r="G67" t="s">
        <v>2022</v>
      </c>
    </row>
    <row r="68" ht="11.25" customHeight="1">
      <c r="A68" s="373" t="s">
        <v>16</v>
      </c>
      <c r="B68" t="s">
        <v>3188</v>
      </c>
      <c r="C68" t="s">
        <v>3189</v>
      </c>
      <c r="D68" t="s">
        <v>3198</v>
      </c>
      <c r="E68" t="s">
        <v>3199</v>
      </c>
      <c r="F68" t="s">
        <v>3064</v>
      </c>
      <c r="G68" t="s">
        <v>3200</v>
      </c>
    </row>
    <row r="69" ht="11.25" customHeight="1">
      <c r="A69" s="373" t="s">
        <v>16</v>
      </c>
      <c r="B69" t="s">
        <v>3188</v>
      </c>
      <c r="C69" t="s">
        <v>3189</v>
      </c>
      <c r="D69" t="s">
        <v>3188</v>
      </c>
      <c r="E69" t="s">
        <v>3189</v>
      </c>
      <c r="F69" t="s">
        <v>3058</v>
      </c>
      <c r="G69" t="s">
        <v>2225</v>
      </c>
    </row>
    <row r="70" ht="11.25" customHeight="1">
      <c r="A70" s="373" t="s">
        <v>16</v>
      </c>
      <c r="B70" t="s">
        <v>3188</v>
      </c>
      <c r="C70" t="s">
        <v>3189</v>
      </c>
      <c r="D70" t="s">
        <v>3201</v>
      </c>
      <c r="E70" t="s">
        <v>3202</v>
      </c>
      <c r="F70" t="s">
        <v>3064</v>
      </c>
      <c r="G70" t="s">
        <v>3203</v>
      </c>
    </row>
    <row r="71" ht="11.25" customHeight="1">
      <c r="A71" s="373" t="s">
        <v>16</v>
      </c>
      <c r="B71" t="s">
        <v>3188</v>
      </c>
      <c r="C71" t="s">
        <v>3189</v>
      </c>
      <c r="D71" t="s">
        <v>3204</v>
      </c>
      <c r="E71" t="s">
        <v>3205</v>
      </c>
      <c r="F71" t="s">
        <v>3064</v>
      </c>
      <c r="G71" t="s">
        <v>3206</v>
      </c>
    </row>
    <row r="72" ht="11.25" customHeight="1">
      <c r="A72" s="373" t="s">
        <v>16</v>
      </c>
      <c r="B72" t="s">
        <v>3188</v>
      </c>
      <c r="C72" t="s">
        <v>3189</v>
      </c>
      <c r="D72" t="s">
        <v>3207</v>
      </c>
      <c r="E72" t="s">
        <v>3208</v>
      </c>
      <c r="F72" t="s">
        <v>3064</v>
      </c>
      <c r="G72" t="s">
        <v>3209</v>
      </c>
    </row>
    <row r="73" ht="11.25" customHeight="1">
      <c r="A73" s="373" t="s">
        <v>16</v>
      </c>
      <c r="B73" t="s">
        <v>3188</v>
      </c>
      <c r="C73" t="s">
        <v>3189</v>
      </c>
      <c r="D73" t="s">
        <v>3210</v>
      </c>
      <c r="E73" t="s">
        <v>3211</v>
      </c>
      <c r="F73" t="s">
        <v>3064</v>
      </c>
      <c r="G73" t="s">
        <v>3212</v>
      </c>
    </row>
    <row r="74" ht="11.25" customHeight="1">
      <c r="A74" s="373" t="s">
        <v>16</v>
      </c>
      <c r="B74" t="s">
        <v>3188</v>
      </c>
      <c r="C74" t="s">
        <v>3189</v>
      </c>
      <c r="D74" t="s">
        <v>3213</v>
      </c>
      <c r="E74" t="s">
        <v>3214</v>
      </c>
      <c r="F74" t="s">
        <v>3064</v>
      </c>
      <c r="G74" t="s">
        <v>3215</v>
      </c>
    </row>
    <row r="75" ht="11.25" customHeight="1">
      <c r="A75" s="373" t="s">
        <v>16</v>
      </c>
      <c r="B75" t="s">
        <v>3188</v>
      </c>
      <c r="C75" t="s">
        <v>3189</v>
      </c>
      <c r="D75" t="s">
        <v>3216</v>
      </c>
      <c r="E75" t="s">
        <v>3217</v>
      </c>
      <c r="F75" t="s">
        <v>3218</v>
      </c>
      <c r="G75" t="s">
        <v>3219</v>
      </c>
    </row>
    <row r="76" ht="11.25" customHeight="1">
      <c r="A76" s="373" t="s">
        <v>16</v>
      </c>
      <c r="B76" t="s">
        <v>3188</v>
      </c>
      <c r="C76" t="s">
        <v>3189</v>
      </c>
      <c r="D76" t="s">
        <v>3220</v>
      </c>
      <c r="E76" t="s">
        <v>3221</v>
      </c>
      <c r="F76" t="s">
        <v>3061</v>
      </c>
      <c r="G76" t="s">
        <v>3222</v>
      </c>
    </row>
    <row r="77" ht="11.25" customHeight="1">
      <c r="A77" s="373" t="s">
        <v>16</v>
      </c>
      <c r="B77" t="s">
        <v>3188</v>
      </c>
      <c r="C77" t="s">
        <v>3189</v>
      </c>
      <c r="D77" t="s">
        <v>3223</v>
      </c>
      <c r="E77" t="s">
        <v>3224</v>
      </c>
      <c r="F77" t="s">
        <v>3064</v>
      </c>
      <c r="G77" t="s">
        <v>3225</v>
      </c>
    </row>
    <row r="78" ht="11.25" customHeight="1">
      <c r="A78" s="373" t="s">
        <v>16</v>
      </c>
      <c r="B78" t="s">
        <v>3226</v>
      </c>
      <c r="C78" t="s">
        <v>3227</v>
      </c>
      <c r="D78" t="s">
        <v>3226</v>
      </c>
      <c r="E78" t="s">
        <v>3227</v>
      </c>
      <c r="F78" t="s">
        <v>3055</v>
      </c>
      <c r="G78" t="s">
        <v>3228</v>
      </c>
    </row>
    <row r="79" ht="11.25" customHeight="1">
      <c r="A79" s="373" t="s">
        <v>16</v>
      </c>
      <c r="B79" t="s">
        <v>3229</v>
      </c>
      <c r="C79" t="s">
        <v>3230</v>
      </c>
      <c r="D79" t="s">
        <v>3231</v>
      </c>
      <c r="E79" t="s">
        <v>3232</v>
      </c>
      <c r="F79" t="s">
        <v>3064</v>
      </c>
      <c r="G79" t="s">
        <v>3233</v>
      </c>
    </row>
    <row r="80" ht="11.25" customHeight="1">
      <c r="A80" s="373" t="s">
        <v>16</v>
      </c>
      <c r="B80" t="s">
        <v>3229</v>
      </c>
      <c r="C80" t="s">
        <v>3230</v>
      </c>
      <c r="D80" t="s">
        <v>3234</v>
      </c>
      <c r="E80" t="s">
        <v>3235</v>
      </c>
      <c r="F80" t="s">
        <v>3064</v>
      </c>
      <c r="G80" t="s">
        <v>3236</v>
      </c>
    </row>
    <row r="81" ht="11.25" customHeight="1">
      <c r="A81" s="373" t="s">
        <v>16</v>
      </c>
      <c r="B81" t="s">
        <v>3229</v>
      </c>
      <c r="C81" t="s">
        <v>3230</v>
      </c>
      <c r="D81" t="s">
        <v>3237</v>
      </c>
      <c r="E81" t="s">
        <v>3238</v>
      </c>
      <c r="F81" t="s">
        <v>3064</v>
      </c>
      <c r="G81" t="s">
        <v>3239</v>
      </c>
    </row>
    <row r="82" ht="11.25" customHeight="1">
      <c r="A82" s="373" t="s">
        <v>16</v>
      </c>
      <c r="B82" t="s">
        <v>3229</v>
      </c>
      <c r="C82" t="s">
        <v>3230</v>
      </c>
      <c r="D82" t="s">
        <v>3240</v>
      </c>
      <c r="E82" t="s">
        <v>3241</v>
      </c>
      <c r="F82" t="s">
        <v>3064</v>
      </c>
      <c r="G82" t="s">
        <v>3242</v>
      </c>
    </row>
    <row r="83" ht="11.25" customHeight="1">
      <c r="A83" s="373" t="s">
        <v>16</v>
      </c>
      <c r="B83" t="s">
        <v>3229</v>
      </c>
      <c r="C83" t="s">
        <v>3230</v>
      </c>
      <c r="D83" t="s">
        <v>3229</v>
      </c>
      <c r="E83" t="s">
        <v>3230</v>
      </c>
      <c r="F83" t="s">
        <v>3058</v>
      </c>
      <c r="G83" t="s">
        <v>3243</v>
      </c>
    </row>
    <row r="84" ht="11.25" customHeight="1">
      <c r="A84" s="373" t="s">
        <v>16</v>
      </c>
      <c r="B84" t="s">
        <v>3229</v>
      </c>
      <c r="C84" t="s">
        <v>3230</v>
      </c>
      <c r="D84" t="s">
        <v>3244</v>
      </c>
      <c r="E84" t="s">
        <v>3245</v>
      </c>
      <c r="F84" t="s">
        <v>3218</v>
      </c>
      <c r="G84" t="s">
        <v>3246</v>
      </c>
    </row>
    <row r="85" ht="11.25" customHeight="1">
      <c r="A85" s="373" t="s">
        <v>16</v>
      </c>
      <c r="B85" t="s">
        <v>3229</v>
      </c>
      <c r="C85" t="s">
        <v>3230</v>
      </c>
      <c r="D85" t="s">
        <v>3247</v>
      </c>
      <c r="E85" t="s">
        <v>3248</v>
      </c>
      <c r="F85" t="s">
        <v>3064</v>
      </c>
      <c r="G85" t="s">
        <v>3249</v>
      </c>
    </row>
    <row r="86" ht="11.25" customHeight="1">
      <c r="A86" s="373" t="s">
        <v>16</v>
      </c>
      <c r="B86" t="s">
        <v>3229</v>
      </c>
      <c r="C86" t="s">
        <v>3230</v>
      </c>
      <c r="D86" t="s">
        <v>3250</v>
      </c>
      <c r="E86" t="s">
        <v>3251</v>
      </c>
      <c r="F86" t="s">
        <v>3064</v>
      </c>
      <c r="G86" t="s">
        <v>3252</v>
      </c>
    </row>
    <row r="87" ht="11.25" customHeight="1">
      <c r="A87" s="373" t="s">
        <v>16</v>
      </c>
      <c r="B87" t="s">
        <v>3229</v>
      </c>
      <c r="C87" t="s">
        <v>3230</v>
      </c>
      <c r="D87" t="s">
        <v>3253</v>
      </c>
      <c r="E87" t="s">
        <v>3254</v>
      </c>
      <c r="F87" t="s">
        <v>3064</v>
      </c>
      <c r="G87" t="s">
        <v>3255</v>
      </c>
    </row>
    <row r="88" ht="11.25" customHeight="1">
      <c r="A88" s="373" t="s">
        <v>16</v>
      </c>
      <c r="B88" t="s">
        <v>3229</v>
      </c>
      <c r="C88" t="s">
        <v>3230</v>
      </c>
      <c r="D88" t="s">
        <v>3256</v>
      </c>
      <c r="E88" t="s">
        <v>3257</v>
      </c>
      <c r="F88" t="s">
        <v>3064</v>
      </c>
      <c r="G88" t="s">
        <v>3258</v>
      </c>
    </row>
    <row r="89" ht="11.25" customHeight="1">
      <c r="A89" s="373" t="s">
        <v>16</v>
      </c>
      <c r="B89" t="s">
        <v>3229</v>
      </c>
      <c r="C89" t="s">
        <v>3230</v>
      </c>
      <c r="D89" t="s">
        <v>3259</v>
      </c>
      <c r="E89" t="s">
        <v>3260</v>
      </c>
      <c r="F89" t="s">
        <v>3064</v>
      </c>
      <c r="G89" t="s">
        <v>3261</v>
      </c>
    </row>
    <row r="90" ht="11.25" customHeight="1">
      <c r="A90" s="373" t="s">
        <v>16</v>
      </c>
      <c r="B90" t="s">
        <v>3262</v>
      </c>
      <c r="C90" t="s">
        <v>3263</v>
      </c>
      <c r="D90" t="s">
        <v>3262</v>
      </c>
      <c r="E90" t="s">
        <v>3263</v>
      </c>
      <c r="F90" t="s">
        <v>3055</v>
      </c>
      <c r="G90" t="s">
        <v>3264</v>
      </c>
    </row>
    <row r="91" ht="11.25" customHeight="1">
      <c r="A91" s="373" t="s">
        <v>16</v>
      </c>
      <c r="B91" t="s">
        <v>3265</v>
      </c>
      <c r="C91" t="s">
        <v>3266</v>
      </c>
      <c r="D91" t="s">
        <v>3267</v>
      </c>
      <c r="E91" t="s">
        <v>3268</v>
      </c>
      <c r="F91" t="s">
        <v>3064</v>
      </c>
      <c r="G91" t="s">
        <v>3269</v>
      </c>
    </row>
    <row r="92" ht="11.25" customHeight="1">
      <c r="A92" s="373" t="s">
        <v>16</v>
      </c>
      <c r="B92" t="s">
        <v>3265</v>
      </c>
      <c r="C92" t="s">
        <v>3266</v>
      </c>
      <c r="D92" t="s">
        <v>3270</v>
      </c>
      <c r="E92" t="s">
        <v>3271</v>
      </c>
      <c r="F92" t="s">
        <v>3064</v>
      </c>
      <c r="G92" t="s">
        <v>3272</v>
      </c>
    </row>
    <row r="93" ht="11.25" customHeight="1">
      <c r="A93" s="373" t="s">
        <v>16</v>
      </c>
      <c r="B93" t="s">
        <v>3265</v>
      </c>
      <c r="C93" t="s">
        <v>3266</v>
      </c>
      <c r="D93" t="s">
        <v>3273</v>
      </c>
      <c r="E93" t="s">
        <v>3274</v>
      </c>
      <c r="F93" t="s">
        <v>3064</v>
      </c>
      <c r="G93" t="s">
        <v>3275</v>
      </c>
    </row>
    <row r="94" ht="11.25" customHeight="1">
      <c r="A94" s="373" t="s">
        <v>16</v>
      </c>
      <c r="B94" t="s">
        <v>3265</v>
      </c>
      <c r="C94" t="s">
        <v>3266</v>
      </c>
      <c r="D94" t="s">
        <v>3276</v>
      </c>
      <c r="E94" t="s">
        <v>3277</v>
      </c>
      <c r="F94" t="s">
        <v>3064</v>
      </c>
      <c r="G94" t="s">
        <v>3278</v>
      </c>
    </row>
    <row r="95" ht="11.25" customHeight="1">
      <c r="A95" s="373" t="s">
        <v>16</v>
      </c>
      <c r="B95" t="s">
        <v>3265</v>
      </c>
      <c r="C95" t="s">
        <v>3266</v>
      </c>
      <c r="D95" t="s">
        <v>3279</v>
      </c>
      <c r="E95" t="s">
        <v>3280</v>
      </c>
      <c r="F95" t="s">
        <v>3064</v>
      </c>
      <c r="G95" t="s">
        <v>3281</v>
      </c>
    </row>
    <row r="96" ht="11.25" customHeight="1">
      <c r="A96" s="373" t="s">
        <v>16</v>
      </c>
      <c r="B96" t="s">
        <v>3265</v>
      </c>
      <c r="C96" t="s">
        <v>3266</v>
      </c>
      <c r="D96" t="s">
        <v>3265</v>
      </c>
      <c r="E96" t="s">
        <v>3266</v>
      </c>
      <c r="F96" t="s">
        <v>3058</v>
      </c>
      <c r="G96" t="s">
        <v>3282</v>
      </c>
    </row>
    <row r="97" ht="11.25" customHeight="1">
      <c r="A97" s="373" t="s">
        <v>16</v>
      </c>
      <c r="B97" t="s">
        <v>3265</v>
      </c>
      <c r="C97" t="s">
        <v>3266</v>
      </c>
      <c r="D97" t="s">
        <v>3283</v>
      </c>
      <c r="E97" t="s">
        <v>3284</v>
      </c>
      <c r="F97" t="s">
        <v>3064</v>
      </c>
      <c r="G97" t="s">
        <v>3285</v>
      </c>
    </row>
    <row r="98" ht="11.25" customHeight="1">
      <c r="A98" s="373" t="s">
        <v>16</v>
      </c>
      <c r="B98" t="s">
        <v>3265</v>
      </c>
      <c r="C98" t="s">
        <v>3266</v>
      </c>
      <c r="D98" t="s">
        <v>3286</v>
      </c>
      <c r="E98" t="s">
        <v>3287</v>
      </c>
      <c r="F98" t="s">
        <v>3061</v>
      </c>
      <c r="G98" t="s">
        <v>3288</v>
      </c>
    </row>
    <row r="99" ht="11.25" customHeight="1">
      <c r="A99" s="373" t="s">
        <v>16</v>
      </c>
      <c r="B99" t="s">
        <v>3265</v>
      </c>
      <c r="C99" t="s">
        <v>3266</v>
      </c>
      <c r="D99" t="s">
        <v>3289</v>
      </c>
      <c r="E99" t="s">
        <v>3290</v>
      </c>
      <c r="F99" t="s">
        <v>3064</v>
      </c>
      <c r="G99" t="s">
        <v>3291</v>
      </c>
    </row>
    <row r="100" ht="11.25" customHeight="1">
      <c r="A100" s="373" t="s">
        <v>16</v>
      </c>
      <c r="B100" t="s">
        <v>3265</v>
      </c>
      <c r="C100" t="s">
        <v>3266</v>
      </c>
      <c r="D100" t="s">
        <v>3292</v>
      </c>
      <c r="E100" t="s">
        <v>3293</v>
      </c>
      <c r="F100" t="s">
        <v>3061</v>
      </c>
      <c r="G100" t="s">
        <v>3294</v>
      </c>
    </row>
    <row r="101" ht="11.25" customHeight="1">
      <c r="A101" s="373" t="s">
        <v>16</v>
      </c>
      <c r="B101" t="s">
        <v>3265</v>
      </c>
      <c r="C101" t="s">
        <v>3266</v>
      </c>
      <c r="D101" t="s">
        <v>3295</v>
      </c>
      <c r="E101" t="s">
        <v>3296</v>
      </c>
      <c r="F101" t="s">
        <v>3064</v>
      </c>
      <c r="G101" t="s">
        <v>3297</v>
      </c>
    </row>
    <row r="102" ht="11.25" customHeight="1">
      <c r="A102" s="373" t="s">
        <v>16</v>
      </c>
      <c r="B102" t="s">
        <v>3298</v>
      </c>
      <c r="C102" t="s">
        <v>3299</v>
      </c>
      <c r="D102" t="s">
        <v>3298</v>
      </c>
      <c r="E102" t="s">
        <v>3299</v>
      </c>
      <c r="F102" t="s">
        <v>3055</v>
      </c>
      <c r="G102" t="s">
        <v>3300</v>
      </c>
    </row>
    <row r="103" ht="11.25" customHeight="1">
      <c r="A103" s="373" t="s">
        <v>16</v>
      </c>
      <c r="B103" t="s">
        <v>3301</v>
      </c>
      <c r="C103" t="s">
        <v>3302</v>
      </c>
      <c r="D103" t="s">
        <v>3303</v>
      </c>
      <c r="E103" t="s">
        <v>3304</v>
      </c>
      <c r="F103" t="s">
        <v>3064</v>
      </c>
      <c r="G103" t="s">
        <v>3305</v>
      </c>
    </row>
    <row r="104" ht="11.25" customHeight="1">
      <c r="A104" s="373" t="s">
        <v>16</v>
      </c>
      <c r="B104" t="s">
        <v>3301</v>
      </c>
      <c r="C104" t="s">
        <v>3302</v>
      </c>
      <c r="D104" t="s">
        <v>3306</v>
      </c>
      <c r="E104" t="s">
        <v>3307</v>
      </c>
      <c r="F104" t="s">
        <v>3064</v>
      </c>
      <c r="G104" t="s">
        <v>3308</v>
      </c>
    </row>
    <row r="105" ht="11.25" customHeight="1">
      <c r="A105" s="373" t="s">
        <v>16</v>
      </c>
      <c r="B105" t="s">
        <v>3301</v>
      </c>
      <c r="C105" t="s">
        <v>3302</v>
      </c>
      <c r="D105" t="s">
        <v>3309</v>
      </c>
      <c r="E105" t="s">
        <v>3310</v>
      </c>
      <c r="F105" t="s">
        <v>3064</v>
      </c>
      <c r="G105" t="s">
        <v>3311</v>
      </c>
    </row>
    <row r="106" ht="11.25" customHeight="1">
      <c r="A106" s="373" t="s">
        <v>16</v>
      </c>
      <c r="B106" t="s">
        <v>3301</v>
      </c>
      <c r="C106" t="s">
        <v>3302</v>
      </c>
      <c r="D106" t="s">
        <v>3312</v>
      </c>
      <c r="E106" t="s">
        <v>3313</v>
      </c>
      <c r="F106" t="s">
        <v>3064</v>
      </c>
      <c r="G106" t="s">
        <v>3314</v>
      </c>
    </row>
    <row r="107" ht="11.25" customHeight="1">
      <c r="A107" s="373" t="s">
        <v>16</v>
      </c>
      <c r="B107" t="s">
        <v>3301</v>
      </c>
      <c r="C107" t="s">
        <v>3302</v>
      </c>
      <c r="D107" t="s">
        <v>3315</v>
      </c>
      <c r="E107" t="s">
        <v>3316</v>
      </c>
      <c r="F107" t="s">
        <v>3064</v>
      </c>
      <c r="G107" t="s">
        <v>3317</v>
      </c>
    </row>
    <row r="108" ht="11.25" customHeight="1">
      <c r="A108" s="373" t="s">
        <v>16</v>
      </c>
      <c r="B108" t="s">
        <v>3301</v>
      </c>
      <c r="C108" t="s">
        <v>3302</v>
      </c>
      <c r="D108" t="s">
        <v>3318</v>
      </c>
      <c r="E108" t="s">
        <v>3319</v>
      </c>
      <c r="F108" t="s">
        <v>3064</v>
      </c>
      <c r="G108" t="s">
        <v>3320</v>
      </c>
    </row>
    <row r="109" ht="11.25" customHeight="1">
      <c r="A109" s="373" t="s">
        <v>16</v>
      </c>
      <c r="B109" t="s">
        <v>3301</v>
      </c>
      <c r="C109" t="s">
        <v>3302</v>
      </c>
      <c r="D109" t="s">
        <v>3321</v>
      </c>
      <c r="E109" t="s">
        <v>3322</v>
      </c>
      <c r="F109" t="s">
        <v>3064</v>
      </c>
      <c r="G109" t="s">
        <v>3323</v>
      </c>
    </row>
    <row r="110" ht="11.25" customHeight="1">
      <c r="A110" s="373" t="s">
        <v>16</v>
      </c>
      <c r="B110" t="s">
        <v>3301</v>
      </c>
      <c r="C110" t="s">
        <v>3302</v>
      </c>
      <c r="D110" t="s">
        <v>3301</v>
      </c>
      <c r="E110" t="s">
        <v>3302</v>
      </c>
      <c r="F110" t="s">
        <v>3058</v>
      </c>
      <c r="G110" t="s">
        <v>3324</v>
      </c>
    </row>
    <row r="111" ht="11.25" customHeight="1">
      <c r="A111" s="373" t="s">
        <v>16</v>
      </c>
      <c r="B111" t="s">
        <v>3301</v>
      </c>
      <c r="C111" t="s">
        <v>3302</v>
      </c>
      <c r="D111" t="s">
        <v>3325</v>
      </c>
      <c r="E111" t="s">
        <v>3326</v>
      </c>
      <c r="F111" t="s">
        <v>3218</v>
      </c>
      <c r="G111" t="s">
        <v>3327</v>
      </c>
    </row>
    <row r="112" ht="11.25" customHeight="1">
      <c r="A112" s="373" t="s">
        <v>16</v>
      </c>
      <c r="B112" t="s">
        <v>3301</v>
      </c>
      <c r="C112" t="s">
        <v>3302</v>
      </c>
      <c r="D112" t="s">
        <v>3328</v>
      </c>
      <c r="E112" t="s">
        <v>3329</v>
      </c>
      <c r="F112" t="s">
        <v>3064</v>
      </c>
      <c r="G112" t="s">
        <v>3330</v>
      </c>
    </row>
    <row r="113" ht="11.25" customHeight="1">
      <c r="A113" s="373" t="s">
        <v>16</v>
      </c>
      <c r="B113" t="s">
        <v>3301</v>
      </c>
      <c r="C113" t="s">
        <v>3302</v>
      </c>
      <c r="D113" t="s">
        <v>3331</v>
      </c>
      <c r="E113" t="s">
        <v>3332</v>
      </c>
      <c r="F113" t="s">
        <v>3061</v>
      </c>
      <c r="G113" t="s">
        <v>3333</v>
      </c>
    </row>
    <row r="114" ht="11.25" customHeight="1">
      <c r="A114" s="373" t="s">
        <v>16</v>
      </c>
      <c r="B114" t="s">
        <v>3301</v>
      </c>
      <c r="C114" t="s">
        <v>3302</v>
      </c>
      <c r="D114" t="s">
        <v>3334</v>
      </c>
      <c r="E114" t="s">
        <v>3335</v>
      </c>
      <c r="F114" t="s">
        <v>3064</v>
      </c>
      <c r="G114" t="s">
        <v>3336</v>
      </c>
    </row>
    <row r="115" ht="11.25" customHeight="1">
      <c r="A115" s="373" t="s">
        <v>16</v>
      </c>
      <c r="B115" t="s">
        <v>3301</v>
      </c>
      <c r="C115" t="s">
        <v>3302</v>
      </c>
      <c r="D115" t="s">
        <v>3337</v>
      </c>
      <c r="E115" t="s">
        <v>3338</v>
      </c>
      <c r="F115" t="s">
        <v>3064</v>
      </c>
      <c r="G115" t="s">
        <v>3339</v>
      </c>
    </row>
    <row r="116" ht="11.25" customHeight="1">
      <c r="A116" s="373" t="s">
        <v>16</v>
      </c>
      <c r="B116" t="s">
        <v>3301</v>
      </c>
      <c r="C116" t="s">
        <v>3302</v>
      </c>
      <c r="D116" t="s">
        <v>3340</v>
      </c>
      <c r="E116" t="s">
        <v>3341</v>
      </c>
      <c r="F116" t="s">
        <v>3064</v>
      </c>
      <c r="G116" t="s">
        <v>3342</v>
      </c>
    </row>
    <row r="117" ht="11.25" customHeight="1">
      <c r="A117" s="373" t="s">
        <v>16</v>
      </c>
      <c r="B117" t="s">
        <v>3301</v>
      </c>
      <c r="C117" t="s">
        <v>3302</v>
      </c>
      <c r="D117" t="s">
        <v>3343</v>
      </c>
      <c r="E117" t="s">
        <v>3344</v>
      </c>
      <c r="F117" t="s">
        <v>3064</v>
      </c>
      <c r="G117" t="s">
        <v>3345</v>
      </c>
    </row>
    <row r="118" ht="11.25" customHeight="1">
      <c r="A118" s="373" t="s">
        <v>16</v>
      </c>
      <c r="B118" t="s">
        <v>3301</v>
      </c>
      <c r="C118" t="s">
        <v>3302</v>
      </c>
      <c r="D118" t="s">
        <v>3346</v>
      </c>
      <c r="E118" t="s">
        <v>3347</v>
      </c>
      <c r="F118" t="s">
        <v>3064</v>
      </c>
      <c r="G118" t="s">
        <v>3348</v>
      </c>
    </row>
    <row r="119" ht="11.25" customHeight="1">
      <c r="A119" s="373" t="s">
        <v>16</v>
      </c>
      <c r="B119" t="s">
        <v>3301</v>
      </c>
      <c r="C119" t="s">
        <v>3302</v>
      </c>
      <c r="D119" t="s">
        <v>3349</v>
      </c>
      <c r="E119" t="s">
        <v>3350</v>
      </c>
      <c r="F119" t="s">
        <v>3064</v>
      </c>
      <c r="G119" t="s">
        <v>3351</v>
      </c>
    </row>
    <row r="120" ht="11.25" customHeight="1">
      <c r="A120" s="373" t="s">
        <v>16</v>
      </c>
      <c r="B120" t="s">
        <v>3301</v>
      </c>
      <c r="C120" t="s">
        <v>3302</v>
      </c>
      <c r="D120" t="s">
        <v>3352</v>
      </c>
      <c r="E120" t="s">
        <v>3353</v>
      </c>
      <c r="F120" t="s">
        <v>3064</v>
      </c>
      <c r="G120" t="s">
        <v>3354</v>
      </c>
    </row>
    <row r="121" ht="11.25" customHeight="1">
      <c r="A121" s="373" t="s">
        <v>16</v>
      </c>
      <c r="B121" t="s">
        <v>3355</v>
      </c>
      <c r="C121" t="s">
        <v>3356</v>
      </c>
      <c r="D121" t="s">
        <v>3355</v>
      </c>
      <c r="E121" t="s">
        <v>3356</v>
      </c>
      <c r="F121" t="s">
        <v>3055</v>
      </c>
      <c r="G121" t="s">
        <v>3357</v>
      </c>
    </row>
    <row r="122" ht="11.25" customHeight="1">
      <c r="A122" s="373" t="s">
        <v>16</v>
      </c>
      <c r="B122" t="s">
        <v>3358</v>
      </c>
      <c r="C122" t="s">
        <v>3359</v>
      </c>
      <c r="D122" t="s">
        <v>3360</v>
      </c>
      <c r="E122" t="s">
        <v>3361</v>
      </c>
      <c r="F122" t="s">
        <v>3064</v>
      </c>
      <c r="G122" t="s">
        <v>3362</v>
      </c>
    </row>
    <row r="123" ht="11.25" customHeight="1">
      <c r="A123" s="373" t="s">
        <v>16</v>
      </c>
      <c r="B123" t="s">
        <v>3358</v>
      </c>
      <c r="C123" t="s">
        <v>3359</v>
      </c>
      <c r="D123" t="s">
        <v>3363</v>
      </c>
      <c r="E123" t="s">
        <v>3364</v>
      </c>
      <c r="F123" t="s">
        <v>3064</v>
      </c>
      <c r="G123" t="s">
        <v>3365</v>
      </c>
    </row>
    <row r="124" ht="11.25" customHeight="1">
      <c r="A124" s="373" t="s">
        <v>16</v>
      </c>
      <c r="B124" t="s">
        <v>3358</v>
      </c>
      <c r="C124" t="s">
        <v>3359</v>
      </c>
      <c r="D124" t="s">
        <v>3366</v>
      </c>
      <c r="E124" t="s">
        <v>3367</v>
      </c>
      <c r="F124" t="s">
        <v>3064</v>
      </c>
      <c r="G124" t="s">
        <v>3368</v>
      </c>
    </row>
    <row r="125" ht="11.25" customHeight="1">
      <c r="A125" s="373" t="s">
        <v>16</v>
      </c>
      <c r="B125" t="s">
        <v>3358</v>
      </c>
      <c r="C125" t="s">
        <v>3359</v>
      </c>
      <c r="D125" t="s">
        <v>3358</v>
      </c>
      <c r="E125" t="s">
        <v>3359</v>
      </c>
      <c r="F125" t="s">
        <v>3058</v>
      </c>
      <c r="G125" t="s">
        <v>3369</v>
      </c>
    </row>
    <row r="126" ht="11.25" customHeight="1">
      <c r="A126" s="373" t="s">
        <v>16</v>
      </c>
      <c r="B126" t="s">
        <v>3358</v>
      </c>
      <c r="C126" t="s">
        <v>3359</v>
      </c>
      <c r="D126" t="s">
        <v>3370</v>
      </c>
      <c r="E126" t="s">
        <v>3371</v>
      </c>
      <c r="F126" t="s">
        <v>3061</v>
      </c>
      <c r="G126" t="s">
        <v>3372</v>
      </c>
    </row>
    <row r="127" ht="11.25" customHeight="1">
      <c r="A127" s="373" t="s">
        <v>16</v>
      </c>
      <c r="B127" t="s">
        <v>3358</v>
      </c>
      <c r="C127" t="s">
        <v>3359</v>
      </c>
      <c r="D127" t="s">
        <v>3373</v>
      </c>
      <c r="E127" t="s">
        <v>3374</v>
      </c>
      <c r="F127" t="s">
        <v>3064</v>
      </c>
      <c r="G127" t="s">
        <v>3375</v>
      </c>
    </row>
    <row r="128" ht="11.25" customHeight="1">
      <c r="A128" s="373" t="s">
        <v>16</v>
      </c>
      <c r="B128" t="s">
        <v>3376</v>
      </c>
      <c r="C128" t="s">
        <v>3377</v>
      </c>
      <c r="D128" t="s">
        <v>3376</v>
      </c>
      <c r="E128" t="s">
        <v>3377</v>
      </c>
      <c r="F128" t="s">
        <v>3055</v>
      </c>
      <c r="G128" t="s">
        <v>3378</v>
      </c>
    </row>
    <row r="129" ht="11.25" customHeight="1">
      <c r="A129" s="373" t="s">
        <v>16</v>
      </c>
      <c r="B129" t="s">
        <v>99</v>
      </c>
      <c r="C129" t="s">
        <v>3379</v>
      </c>
      <c r="D129" t="s">
        <v>3380</v>
      </c>
      <c r="E129" t="s">
        <v>3381</v>
      </c>
      <c r="F129" t="s">
        <v>3064</v>
      </c>
      <c r="G129" t="s">
        <v>3382</v>
      </c>
    </row>
    <row r="130" ht="11.25" customHeight="1">
      <c r="A130" s="373" t="s">
        <v>16</v>
      </c>
      <c r="B130" t="s">
        <v>99</v>
      </c>
      <c r="C130" t="s">
        <v>3379</v>
      </c>
      <c r="D130" t="s">
        <v>3383</v>
      </c>
      <c r="E130" t="s">
        <v>3384</v>
      </c>
      <c r="F130" t="s">
        <v>3064</v>
      </c>
      <c r="G130" t="s">
        <v>3385</v>
      </c>
    </row>
    <row r="131" ht="11.25" customHeight="1">
      <c r="A131" s="373" t="s">
        <v>16</v>
      </c>
      <c r="B131" t="s">
        <v>99</v>
      </c>
      <c r="C131" t="s">
        <v>3379</v>
      </c>
      <c r="D131" t="s">
        <v>100</v>
      </c>
      <c r="E131" t="s">
        <v>101</v>
      </c>
      <c r="F131" t="s">
        <v>3218</v>
      </c>
      <c r="G131" t="s">
        <v>98</v>
      </c>
    </row>
    <row r="132" ht="11.25" customHeight="1">
      <c r="A132" s="373" t="s">
        <v>16</v>
      </c>
      <c r="B132" t="s">
        <v>99</v>
      </c>
      <c r="C132" t="s">
        <v>3379</v>
      </c>
      <c r="D132" t="s">
        <v>3331</v>
      </c>
      <c r="E132" t="s">
        <v>3386</v>
      </c>
      <c r="F132" t="s">
        <v>3064</v>
      </c>
      <c r="G132" t="s">
        <v>3387</v>
      </c>
    </row>
    <row r="133" ht="11.25" customHeight="1">
      <c r="A133" s="373" t="s">
        <v>16</v>
      </c>
      <c r="B133" t="s">
        <v>99</v>
      </c>
      <c r="C133" t="s">
        <v>3379</v>
      </c>
      <c r="D133" t="s">
        <v>3388</v>
      </c>
      <c r="E133" t="s">
        <v>3389</v>
      </c>
      <c r="F133" t="s">
        <v>3064</v>
      </c>
      <c r="G133" t="s">
        <v>3390</v>
      </c>
    </row>
    <row r="134" ht="11.25" customHeight="1">
      <c r="A134" s="373" t="s">
        <v>16</v>
      </c>
      <c r="B134" t="s">
        <v>99</v>
      </c>
      <c r="C134" t="s">
        <v>3379</v>
      </c>
      <c r="D134" t="s">
        <v>3391</v>
      </c>
      <c r="E134" t="s">
        <v>3392</v>
      </c>
      <c r="F134" t="s">
        <v>3064</v>
      </c>
      <c r="G134" t="s">
        <v>3393</v>
      </c>
    </row>
    <row r="135" ht="11.25" customHeight="1">
      <c r="A135" s="373" t="s">
        <v>16</v>
      </c>
      <c r="B135" t="s">
        <v>99</v>
      </c>
      <c r="C135" t="s">
        <v>3379</v>
      </c>
      <c r="D135" t="s">
        <v>99</v>
      </c>
      <c r="E135" t="s">
        <v>3379</v>
      </c>
      <c r="F135" t="s">
        <v>3058</v>
      </c>
      <c r="G135" t="s">
        <v>3394</v>
      </c>
    </row>
    <row r="136" ht="11.25" customHeight="1">
      <c r="A136" s="373" t="s">
        <v>16</v>
      </c>
      <c r="B136" t="s">
        <v>99</v>
      </c>
      <c r="C136" t="s">
        <v>3379</v>
      </c>
      <c r="D136" t="s">
        <v>3395</v>
      </c>
      <c r="E136" t="s">
        <v>3396</v>
      </c>
      <c r="F136" t="s">
        <v>3061</v>
      </c>
      <c r="G136" t="s">
        <v>3397</v>
      </c>
    </row>
    <row r="137" ht="11.25" customHeight="1">
      <c r="A137" s="373" t="s">
        <v>16</v>
      </c>
      <c r="B137" t="s">
        <v>99</v>
      </c>
      <c r="C137" t="s">
        <v>3379</v>
      </c>
      <c r="D137" t="s">
        <v>3398</v>
      </c>
      <c r="E137" t="s">
        <v>3399</v>
      </c>
      <c r="F137" t="s">
        <v>3064</v>
      </c>
      <c r="G137" t="s">
        <v>3400</v>
      </c>
    </row>
    <row r="138" ht="11.25" customHeight="1">
      <c r="A138" s="373" t="s">
        <v>16</v>
      </c>
      <c r="B138" t="s">
        <v>3401</v>
      </c>
      <c r="C138" t="s">
        <v>3402</v>
      </c>
      <c r="D138" t="s">
        <v>3401</v>
      </c>
      <c r="E138" t="s">
        <v>3402</v>
      </c>
      <c r="F138" t="s">
        <v>3055</v>
      </c>
      <c r="G138" t="s">
        <v>3403</v>
      </c>
    </row>
    <row r="139" ht="11.25" customHeight="1">
      <c r="A139" s="373" t="s">
        <v>16</v>
      </c>
      <c r="B139" t="s">
        <v>3404</v>
      </c>
      <c r="C139" t="s">
        <v>3405</v>
      </c>
      <c r="D139" t="s">
        <v>3406</v>
      </c>
      <c r="E139" t="s">
        <v>3407</v>
      </c>
      <c r="F139" t="s">
        <v>3064</v>
      </c>
      <c r="G139" t="s">
        <v>3408</v>
      </c>
    </row>
    <row r="140" ht="11.25" customHeight="1">
      <c r="A140" s="373" t="s">
        <v>16</v>
      </c>
      <c r="B140" t="s">
        <v>3404</v>
      </c>
      <c r="C140" t="s">
        <v>3405</v>
      </c>
      <c r="D140" t="s">
        <v>3409</v>
      </c>
      <c r="E140" t="s">
        <v>3410</v>
      </c>
      <c r="F140" t="s">
        <v>3064</v>
      </c>
      <c r="G140" t="s">
        <v>3411</v>
      </c>
    </row>
    <row r="141" ht="11.25" customHeight="1">
      <c r="A141" s="373" t="s">
        <v>16</v>
      </c>
      <c r="B141" t="s">
        <v>3404</v>
      </c>
      <c r="C141" t="s">
        <v>3405</v>
      </c>
      <c r="D141" t="s">
        <v>3412</v>
      </c>
      <c r="E141" t="s">
        <v>3413</v>
      </c>
      <c r="F141" t="s">
        <v>3064</v>
      </c>
      <c r="G141" t="s">
        <v>3414</v>
      </c>
    </row>
    <row r="142" ht="11.25" customHeight="1">
      <c r="A142" s="373" t="s">
        <v>16</v>
      </c>
      <c r="B142" t="s">
        <v>3404</v>
      </c>
      <c r="C142" t="s">
        <v>3405</v>
      </c>
      <c r="D142" t="s">
        <v>3415</v>
      </c>
      <c r="E142" t="s">
        <v>3416</v>
      </c>
      <c r="F142" t="s">
        <v>3064</v>
      </c>
      <c r="G142" t="s">
        <v>3417</v>
      </c>
    </row>
    <row r="143" ht="11.25" customHeight="1">
      <c r="A143" s="373" t="s">
        <v>16</v>
      </c>
      <c r="B143" t="s">
        <v>3404</v>
      </c>
      <c r="C143" t="s">
        <v>3405</v>
      </c>
      <c r="D143" t="s">
        <v>3404</v>
      </c>
      <c r="E143" t="s">
        <v>3405</v>
      </c>
      <c r="F143" t="s">
        <v>3058</v>
      </c>
      <c r="G143" t="s">
        <v>3418</v>
      </c>
    </row>
    <row r="144" ht="11.25" customHeight="1">
      <c r="A144" s="373" t="s">
        <v>16</v>
      </c>
      <c r="B144" t="s">
        <v>3404</v>
      </c>
      <c r="C144" t="s">
        <v>3405</v>
      </c>
      <c r="D144" t="s">
        <v>3419</v>
      </c>
      <c r="E144" t="s">
        <v>3420</v>
      </c>
      <c r="F144" t="s">
        <v>3064</v>
      </c>
      <c r="G144" t="s">
        <v>3421</v>
      </c>
    </row>
    <row r="145" ht="11.25" customHeight="1">
      <c r="A145" s="373" t="s">
        <v>16</v>
      </c>
      <c r="B145" t="s">
        <v>3404</v>
      </c>
      <c r="C145" t="s">
        <v>3405</v>
      </c>
      <c r="D145" t="s">
        <v>3422</v>
      </c>
      <c r="E145" t="s">
        <v>3423</v>
      </c>
      <c r="F145" t="s">
        <v>3064</v>
      </c>
      <c r="G145" t="s">
        <v>3424</v>
      </c>
    </row>
    <row r="146" ht="11.25" customHeight="1">
      <c r="A146" s="373" t="s">
        <v>16</v>
      </c>
      <c r="B146" t="s">
        <v>3425</v>
      </c>
      <c r="C146" t="s">
        <v>3426</v>
      </c>
      <c r="D146" t="s">
        <v>3425</v>
      </c>
      <c r="E146" t="s">
        <v>3426</v>
      </c>
      <c r="F146" t="s">
        <v>3055</v>
      </c>
      <c r="G146" t="s">
        <v>3427</v>
      </c>
    </row>
    <row r="147" ht="11.25" customHeight="1">
      <c r="A147" s="373" t="s">
        <v>16</v>
      </c>
      <c r="B147" t="s">
        <v>3428</v>
      </c>
      <c r="C147" t="s">
        <v>3429</v>
      </c>
      <c r="D147" t="s">
        <v>3430</v>
      </c>
      <c r="E147" t="s">
        <v>3431</v>
      </c>
      <c r="F147" t="s">
        <v>3064</v>
      </c>
      <c r="G147" t="s">
        <v>3432</v>
      </c>
    </row>
    <row r="148" ht="11.25" customHeight="1">
      <c r="A148" s="373" t="s">
        <v>16</v>
      </c>
      <c r="B148" t="s">
        <v>3428</v>
      </c>
      <c r="C148" t="s">
        <v>3429</v>
      </c>
      <c r="D148" t="s">
        <v>3433</v>
      </c>
      <c r="E148" t="s">
        <v>3434</v>
      </c>
      <c r="F148" t="s">
        <v>3064</v>
      </c>
      <c r="G148" t="s">
        <v>3435</v>
      </c>
    </row>
    <row r="149" ht="11.25" customHeight="1">
      <c r="A149" s="373" t="s">
        <v>16</v>
      </c>
      <c r="B149" t="s">
        <v>3428</v>
      </c>
      <c r="C149" t="s">
        <v>3429</v>
      </c>
      <c r="D149" t="s">
        <v>3436</v>
      </c>
      <c r="E149" t="s">
        <v>3437</v>
      </c>
      <c r="F149" t="s">
        <v>3064</v>
      </c>
      <c r="G149" t="s">
        <v>3438</v>
      </c>
    </row>
    <row r="150" ht="11.25" customHeight="1">
      <c r="A150" s="373" t="s">
        <v>16</v>
      </c>
      <c r="B150" t="s">
        <v>3428</v>
      </c>
      <c r="C150" t="s">
        <v>3429</v>
      </c>
      <c r="D150" t="s">
        <v>3439</v>
      </c>
      <c r="E150" t="s">
        <v>3440</v>
      </c>
      <c r="F150" t="s">
        <v>3064</v>
      </c>
      <c r="G150" t="s">
        <v>3441</v>
      </c>
    </row>
    <row r="151" ht="11.25" customHeight="1">
      <c r="A151" s="373" t="s">
        <v>16</v>
      </c>
      <c r="B151" t="s">
        <v>3428</v>
      </c>
      <c r="C151" t="s">
        <v>3429</v>
      </c>
      <c r="D151" t="s">
        <v>3442</v>
      </c>
      <c r="E151" t="s">
        <v>3443</v>
      </c>
      <c r="F151" t="s">
        <v>3064</v>
      </c>
      <c r="G151" t="s">
        <v>3444</v>
      </c>
    </row>
    <row r="152" ht="11.25" customHeight="1">
      <c r="A152" s="373" t="s">
        <v>16</v>
      </c>
      <c r="B152" t="s">
        <v>3428</v>
      </c>
      <c r="C152" t="s">
        <v>3429</v>
      </c>
      <c r="D152" t="s">
        <v>3445</v>
      </c>
      <c r="E152" t="s">
        <v>3446</v>
      </c>
      <c r="F152" t="s">
        <v>3064</v>
      </c>
      <c r="G152" t="s">
        <v>3447</v>
      </c>
    </row>
    <row r="153" ht="11.25" customHeight="1">
      <c r="A153" s="373" t="s">
        <v>16</v>
      </c>
      <c r="B153" t="s">
        <v>3428</v>
      </c>
      <c r="C153" t="s">
        <v>3429</v>
      </c>
      <c r="D153" t="s">
        <v>3448</v>
      </c>
      <c r="E153" t="s">
        <v>3449</v>
      </c>
      <c r="F153" t="s">
        <v>3064</v>
      </c>
      <c r="G153" t="s">
        <v>3450</v>
      </c>
    </row>
    <row r="154" ht="11.25" customHeight="1">
      <c r="A154" s="373" t="s">
        <v>16</v>
      </c>
      <c r="B154" t="s">
        <v>3428</v>
      </c>
      <c r="C154" t="s">
        <v>3429</v>
      </c>
      <c r="D154" t="s">
        <v>3451</v>
      </c>
      <c r="E154" t="s">
        <v>3452</v>
      </c>
      <c r="F154" t="s">
        <v>3064</v>
      </c>
      <c r="G154" t="s">
        <v>3453</v>
      </c>
    </row>
    <row r="155" ht="11.25" customHeight="1">
      <c r="A155" s="373" t="s">
        <v>16</v>
      </c>
      <c r="B155" t="s">
        <v>3428</v>
      </c>
      <c r="C155" t="s">
        <v>3429</v>
      </c>
      <c r="D155" t="s">
        <v>3454</v>
      </c>
      <c r="E155" t="s">
        <v>3455</v>
      </c>
      <c r="F155" t="s">
        <v>3064</v>
      </c>
      <c r="G155" t="s">
        <v>3456</v>
      </c>
    </row>
    <row r="156" ht="11.25" customHeight="1">
      <c r="A156" s="373" t="s">
        <v>16</v>
      </c>
      <c r="B156" t="s">
        <v>3428</v>
      </c>
      <c r="C156" t="s">
        <v>3429</v>
      </c>
      <c r="D156" t="s">
        <v>3428</v>
      </c>
      <c r="E156" t="s">
        <v>3429</v>
      </c>
      <c r="F156" t="s">
        <v>3058</v>
      </c>
      <c r="G156" t="s">
        <v>3457</v>
      </c>
    </row>
    <row r="157" ht="11.25" customHeight="1">
      <c r="A157" s="373" t="s">
        <v>16</v>
      </c>
      <c r="B157" t="s">
        <v>3428</v>
      </c>
      <c r="C157" t="s">
        <v>3429</v>
      </c>
      <c r="D157" t="s">
        <v>3458</v>
      </c>
      <c r="E157" t="s">
        <v>3459</v>
      </c>
      <c r="F157" t="s">
        <v>3218</v>
      </c>
      <c r="G157" t="s">
        <v>3460</v>
      </c>
    </row>
    <row r="158" ht="11.25" customHeight="1">
      <c r="A158" s="373" t="s">
        <v>16</v>
      </c>
      <c r="B158" t="s">
        <v>3428</v>
      </c>
      <c r="C158" t="s">
        <v>3429</v>
      </c>
      <c r="D158" t="s">
        <v>3461</v>
      </c>
      <c r="E158" t="s">
        <v>3462</v>
      </c>
      <c r="F158" t="s">
        <v>3064</v>
      </c>
      <c r="G158" t="s">
        <v>3463</v>
      </c>
    </row>
    <row r="159" ht="11.25" customHeight="1">
      <c r="A159" s="373" t="s">
        <v>16</v>
      </c>
      <c r="B159" t="s">
        <v>3428</v>
      </c>
      <c r="C159" t="s">
        <v>3429</v>
      </c>
      <c r="D159" t="s">
        <v>3464</v>
      </c>
      <c r="E159" t="s">
        <v>3465</v>
      </c>
      <c r="F159" t="s">
        <v>3064</v>
      </c>
      <c r="G159" t="s">
        <v>3466</v>
      </c>
    </row>
    <row r="160" ht="11.25" customHeight="1">
      <c r="A160" s="373" t="s">
        <v>16</v>
      </c>
      <c r="B160" t="s">
        <v>3428</v>
      </c>
      <c r="C160" t="s">
        <v>3429</v>
      </c>
      <c r="D160" t="s">
        <v>3467</v>
      </c>
      <c r="E160" t="s">
        <v>3468</v>
      </c>
      <c r="F160" t="s">
        <v>3064</v>
      </c>
      <c r="G160" t="s">
        <v>3469</v>
      </c>
    </row>
    <row r="161" ht="11.25" customHeight="1">
      <c r="A161" s="373" t="s">
        <v>16</v>
      </c>
      <c r="B161" t="s">
        <v>3470</v>
      </c>
      <c r="C161" t="s">
        <v>3471</v>
      </c>
      <c r="D161" t="s">
        <v>3470</v>
      </c>
      <c r="E161" t="s">
        <v>3471</v>
      </c>
      <c r="F161" t="s">
        <v>3055</v>
      </c>
      <c r="G161" t="s">
        <v>3472</v>
      </c>
    </row>
    <row r="162" ht="11.25" customHeight="1">
      <c r="A162" s="373" t="s">
        <v>16</v>
      </c>
      <c r="B162" t="s">
        <v>3473</v>
      </c>
      <c r="C162" t="s">
        <v>3474</v>
      </c>
      <c r="D162" t="s">
        <v>3430</v>
      </c>
      <c r="E162" t="s">
        <v>3475</v>
      </c>
      <c r="F162" t="s">
        <v>3064</v>
      </c>
      <c r="G162" t="s">
        <v>3476</v>
      </c>
    </row>
    <row r="163" ht="11.25" customHeight="1">
      <c r="A163" s="373" t="s">
        <v>16</v>
      </c>
      <c r="B163" t="s">
        <v>3473</v>
      </c>
      <c r="C163" t="s">
        <v>3474</v>
      </c>
      <c r="D163" t="s">
        <v>3477</v>
      </c>
      <c r="E163" t="s">
        <v>3478</v>
      </c>
      <c r="F163" t="s">
        <v>3064</v>
      </c>
      <c r="G163" t="s">
        <v>3479</v>
      </c>
    </row>
    <row r="164" ht="11.25" customHeight="1">
      <c r="A164" s="373" t="s">
        <v>16</v>
      </c>
      <c r="B164" t="s">
        <v>3473</v>
      </c>
      <c r="C164" t="s">
        <v>3474</v>
      </c>
      <c r="D164" t="s">
        <v>3480</v>
      </c>
      <c r="E164" t="s">
        <v>3481</v>
      </c>
      <c r="F164" t="s">
        <v>3064</v>
      </c>
      <c r="G164" t="s">
        <v>3482</v>
      </c>
    </row>
    <row r="165" ht="11.25" customHeight="1">
      <c r="A165" s="373" t="s">
        <v>16</v>
      </c>
      <c r="B165" t="s">
        <v>3473</v>
      </c>
      <c r="C165" t="s">
        <v>3474</v>
      </c>
      <c r="D165" t="s">
        <v>3483</v>
      </c>
      <c r="E165" t="s">
        <v>3484</v>
      </c>
      <c r="F165" t="s">
        <v>3064</v>
      </c>
      <c r="G165" t="s">
        <v>3485</v>
      </c>
    </row>
    <row r="166" ht="11.25" customHeight="1">
      <c r="A166" s="373" t="s">
        <v>16</v>
      </c>
      <c r="B166" t="s">
        <v>3473</v>
      </c>
      <c r="C166" t="s">
        <v>3474</v>
      </c>
      <c r="D166" t="s">
        <v>3486</v>
      </c>
      <c r="E166" t="s">
        <v>3487</v>
      </c>
      <c r="F166" t="s">
        <v>3064</v>
      </c>
      <c r="G166" t="s">
        <v>3488</v>
      </c>
    </row>
    <row r="167" ht="11.25" customHeight="1">
      <c r="A167" s="373" t="s">
        <v>16</v>
      </c>
      <c r="B167" t="s">
        <v>3473</v>
      </c>
      <c r="C167" t="s">
        <v>3474</v>
      </c>
      <c r="D167" t="s">
        <v>3473</v>
      </c>
      <c r="E167" t="s">
        <v>3474</v>
      </c>
      <c r="F167" t="s">
        <v>3058</v>
      </c>
      <c r="G167" t="s">
        <v>3489</v>
      </c>
    </row>
    <row r="168" ht="11.25" customHeight="1">
      <c r="A168" s="373" t="s">
        <v>16</v>
      </c>
      <c r="B168" t="s">
        <v>3473</v>
      </c>
      <c r="C168" t="s">
        <v>3474</v>
      </c>
      <c r="D168" t="s">
        <v>3490</v>
      </c>
      <c r="E168" t="s">
        <v>3491</v>
      </c>
      <c r="F168" t="s">
        <v>3218</v>
      </c>
      <c r="G168" t="s">
        <v>3492</v>
      </c>
    </row>
    <row r="169" ht="11.25" customHeight="1">
      <c r="A169" s="373" t="s">
        <v>16</v>
      </c>
      <c r="B169" t="s">
        <v>3493</v>
      </c>
      <c r="C169" t="s">
        <v>3494</v>
      </c>
      <c r="D169" t="s">
        <v>3493</v>
      </c>
      <c r="E169" t="s">
        <v>3494</v>
      </c>
      <c r="F169" t="s">
        <v>3055</v>
      </c>
      <c r="G169" t="s">
        <v>3495</v>
      </c>
    </row>
    <row r="170" ht="11.25" customHeight="1">
      <c r="A170" s="373" t="s">
        <v>16</v>
      </c>
      <c r="B170" t="s">
        <v>3496</v>
      </c>
      <c r="C170" t="s">
        <v>3497</v>
      </c>
      <c r="D170" t="s">
        <v>3498</v>
      </c>
      <c r="E170" t="s">
        <v>3499</v>
      </c>
      <c r="F170" t="s">
        <v>3064</v>
      </c>
      <c r="G170" t="s">
        <v>3500</v>
      </c>
    </row>
    <row r="171" ht="11.25" customHeight="1">
      <c r="A171" s="373" t="s">
        <v>16</v>
      </c>
      <c r="B171" t="s">
        <v>3496</v>
      </c>
      <c r="C171" t="s">
        <v>3497</v>
      </c>
      <c r="D171" t="s">
        <v>3501</v>
      </c>
      <c r="E171" t="s">
        <v>3502</v>
      </c>
      <c r="F171" t="s">
        <v>3064</v>
      </c>
      <c r="G171" t="s">
        <v>3503</v>
      </c>
    </row>
    <row r="172" ht="11.25" customHeight="1">
      <c r="A172" s="373" t="s">
        <v>16</v>
      </c>
      <c r="B172" t="s">
        <v>3496</v>
      </c>
      <c r="C172" t="s">
        <v>3497</v>
      </c>
      <c r="D172" t="s">
        <v>3504</v>
      </c>
      <c r="E172" t="s">
        <v>3505</v>
      </c>
      <c r="F172" t="s">
        <v>3064</v>
      </c>
      <c r="G172" t="s">
        <v>3506</v>
      </c>
    </row>
    <row r="173" ht="11.25" customHeight="1">
      <c r="A173" s="373" t="s">
        <v>16</v>
      </c>
      <c r="B173" t="s">
        <v>3496</v>
      </c>
      <c r="C173" t="s">
        <v>3497</v>
      </c>
      <c r="D173" t="s">
        <v>3507</v>
      </c>
      <c r="E173" t="s">
        <v>3508</v>
      </c>
      <c r="F173" t="s">
        <v>3064</v>
      </c>
      <c r="G173" t="s">
        <v>3509</v>
      </c>
    </row>
    <row r="174" ht="11.25" customHeight="1">
      <c r="A174" s="373" t="s">
        <v>16</v>
      </c>
      <c r="B174" t="s">
        <v>3496</v>
      </c>
      <c r="C174" t="s">
        <v>3497</v>
      </c>
      <c r="D174" t="s">
        <v>3510</v>
      </c>
      <c r="E174" t="s">
        <v>3511</v>
      </c>
      <c r="F174" t="s">
        <v>3064</v>
      </c>
      <c r="G174" t="s">
        <v>3512</v>
      </c>
    </row>
    <row r="175" ht="11.25" customHeight="1">
      <c r="A175" s="373" t="s">
        <v>16</v>
      </c>
      <c r="B175" t="s">
        <v>3496</v>
      </c>
      <c r="C175" t="s">
        <v>3497</v>
      </c>
      <c r="D175" t="s">
        <v>3513</v>
      </c>
      <c r="E175" t="s">
        <v>3514</v>
      </c>
      <c r="F175" t="s">
        <v>3064</v>
      </c>
      <c r="G175" t="s">
        <v>3515</v>
      </c>
    </row>
    <row r="176" ht="11.25" customHeight="1">
      <c r="A176" s="373" t="s">
        <v>16</v>
      </c>
      <c r="B176" t="s">
        <v>3496</v>
      </c>
      <c r="C176" t="s">
        <v>3497</v>
      </c>
      <c r="D176" t="s">
        <v>3516</v>
      </c>
      <c r="E176" t="s">
        <v>3517</v>
      </c>
      <c r="F176" t="s">
        <v>3064</v>
      </c>
      <c r="G176" t="s">
        <v>3518</v>
      </c>
    </row>
    <row r="177" ht="11.25" customHeight="1">
      <c r="A177" s="373" t="s">
        <v>16</v>
      </c>
      <c r="B177" t="s">
        <v>3496</v>
      </c>
      <c r="C177" t="s">
        <v>3497</v>
      </c>
      <c r="D177" t="s">
        <v>3519</v>
      </c>
      <c r="E177" t="s">
        <v>3520</v>
      </c>
      <c r="F177" t="s">
        <v>3064</v>
      </c>
      <c r="G177" t="s">
        <v>3521</v>
      </c>
    </row>
    <row r="178" ht="11.25" customHeight="1">
      <c r="A178" s="373" t="s">
        <v>16</v>
      </c>
      <c r="B178" t="s">
        <v>3496</v>
      </c>
      <c r="C178" t="s">
        <v>3497</v>
      </c>
      <c r="D178" t="s">
        <v>3522</v>
      </c>
      <c r="E178" t="s">
        <v>3523</v>
      </c>
      <c r="F178" t="s">
        <v>3064</v>
      </c>
      <c r="G178" t="s">
        <v>3524</v>
      </c>
    </row>
    <row r="179" ht="11.25" customHeight="1">
      <c r="A179" s="373" t="s">
        <v>16</v>
      </c>
      <c r="B179" t="s">
        <v>3496</v>
      </c>
      <c r="C179" t="s">
        <v>3497</v>
      </c>
      <c r="D179" t="s">
        <v>3525</v>
      </c>
      <c r="E179" t="s">
        <v>3526</v>
      </c>
      <c r="F179" t="s">
        <v>3064</v>
      </c>
      <c r="G179" t="s">
        <v>3527</v>
      </c>
    </row>
    <row r="180" ht="11.25" customHeight="1">
      <c r="A180" s="373" t="s">
        <v>16</v>
      </c>
      <c r="B180" t="s">
        <v>3496</v>
      </c>
      <c r="C180" t="s">
        <v>3497</v>
      </c>
      <c r="D180" t="s">
        <v>3528</v>
      </c>
      <c r="E180" t="s">
        <v>3529</v>
      </c>
      <c r="F180" t="s">
        <v>3064</v>
      </c>
      <c r="G180" t="s">
        <v>3530</v>
      </c>
    </row>
    <row r="181" ht="11.25" customHeight="1">
      <c r="A181" s="373" t="s">
        <v>16</v>
      </c>
      <c r="B181" t="s">
        <v>3496</v>
      </c>
      <c r="C181" t="s">
        <v>3497</v>
      </c>
      <c r="D181" t="s">
        <v>3531</v>
      </c>
      <c r="E181" t="s">
        <v>3532</v>
      </c>
      <c r="F181" t="s">
        <v>3064</v>
      </c>
      <c r="G181" t="s">
        <v>3533</v>
      </c>
    </row>
    <row r="182" ht="11.25" customHeight="1">
      <c r="A182" s="373" t="s">
        <v>16</v>
      </c>
      <c r="B182" t="s">
        <v>3496</v>
      </c>
      <c r="C182" t="s">
        <v>3497</v>
      </c>
      <c r="D182" t="s">
        <v>3534</v>
      </c>
      <c r="E182" t="s">
        <v>3535</v>
      </c>
      <c r="F182" t="s">
        <v>3064</v>
      </c>
      <c r="G182" t="s">
        <v>3536</v>
      </c>
    </row>
    <row r="183" ht="11.25" customHeight="1">
      <c r="A183" s="373" t="s">
        <v>16</v>
      </c>
      <c r="B183" t="s">
        <v>3496</v>
      </c>
      <c r="C183" t="s">
        <v>3497</v>
      </c>
      <c r="D183" t="s">
        <v>3537</v>
      </c>
      <c r="E183" t="s">
        <v>3538</v>
      </c>
      <c r="F183" t="s">
        <v>3064</v>
      </c>
      <c r="G183" t="s">
        <v>3539</v>
      </c>
    </row>
    <row r="184" ht="11.25" customHeight="1">
      <c r="A184" s="373" t="s">
        <v>16</v>
      </c>
      <c r="B184" t="s">
        <v>3496</v>
      </c>
      <c r="C184" t="s">
        <v>3497</v>
      </c>
      <c r="D184" t="s">
        <v>3540</v>
      </c>
      <c r="E184" t="s">
        <v>3541</v>
      </c>
      <c r="F184" t="s">
        <v>3064</v>
      </c>
      <c r="G184" t="s">
        <v>3542</v>
      </c>
    </row>
    <row r="185" ht="11.25" customHeight="1">
      <c r="A185" s="373" t="s">
        <v>16</v>
      </c>
      <c r="B185" t="s">
        <v>3496</v>
      </c>
      <c r="C185" t="s">
        <v>3497</v>
      </c>
      <c r="D185" t="s">
        <v>3496</v>
      </c>
      <c r="E185" t="s">
        <v>3497</v>
      </c>
      <c r="F185" t="s">
        <v>3058</v>
      </c>
      <c r="G185" t="s">
        <v>3543</v>
      </c>
    </row>
    <row r="186" ht="11.25" customHeight="1">
      <c r="A186" s="373" t="s">
        <v>16</v>
      </c>
      <c r="B186" t="s">
        <v>3496</v>
      </c>
      <c r="C186" t="s">
        <v>3497</v>
      </c>
      <c r="D186" t="s">
        <v>3544</v>
      </c>
      <c r="E186" t="s">
        <v>3545</v>
      </c>
      <c r="F186" t="s">
        <v>3064</v>
      </c>
      <c r="G186" t="s">
        <v>3546</v>
      </c>
    </row>
    <row r="187" ht="11.25" customHeight="1">
      <c r="A187" s="373" t="s">
        <v>16</v>
      </c>
      <c r="B187" t="s">
        <v>3496</v>
      </c>
      <c r="C187" t="s">
        <v>3497</v>
      </c>
      <c r="D187" t="s">
        <v>3547</v>
      </c>
      <c r="E187" t="s">
        <v>3548</v>
      </c>
      <c r="F187" t="s">
        <v>3064</v>
      </c>
      <c r="G187" t="s">
        <v>3549</v>
      </c>
    </row>
    <row r="188" ht="11.25" customHeight="1">
      <c r="A188" s="373" t="s">
        <v>16</v>
      </c>
      <c r="B188" t="s">
        <v>3496</v>
      </c>
      <c r="C188" t="s">
        <v>3497</v>
      </c>
      <c r="D188" t="s">
        <v>3550</v>
      </c>
      <c r="E188" t="s">
        <v>3551</v>
      </c>
      <c r="F188" t="s">
        <v>3064</v>
      </c>
      <c r="G188" t="s">
        <v>3552</v>
      </c>
    </row>
    <row r="189" ht="11.25" customHeight="1">
      <c r="A189" s="373" t="s">
        <v>16</v>
      </c>
      <c r="B189" t="s">
        <v>3553</v>
      </c>
      <c r="C189" t="s">
        <v>3554</v>
      </c>
      <c r="D189" t="s">
        <v>3553</v>
      </c>
      <c r="E189" t="s">
        <v>3554</v>
      </c>
      <c r="F189" t="s">
        <v>3055</v>
      </c>
      <c r="G189" t="s">
        <v>3555</v>
      </c>
    </row>
    <row r="190" ht="11.25" customHeight="1">
      <c r="A190" s="373" t="s">
        <v>16</v>
      </c>
      <c r="B190" t="s">
        <v>3556</v>
      </c>
      <c r="C190" t="s">
        <v>3557</v>
      </c>
      <c r="D190" t="s">
        <v>3558</v>
      </c>
      <c r="E190" t="s">
        <v>3559</v>
      </c>
      <c r="F190" t="s">
        <v>3064</v>
      </c>
      <c r="G190" t="s">
        <v>3560</v>
      </c>
    </row>
    <row r="191" ht="11.25" customHeight="1">
      <c r="A191" s="373" t="s">
        <v>16</v>
      </c>
      <c r="B191" t="s">
        <v>3556</v>
      </c>
      <c r="C191" t="s">
        <v>3557</v>
      </c>
      <c r="D191" t="s">
        <v>3561</v>
      </c>
      <c r="E191" t="s">
        <v>3562</v>
      </c>
      <c r="F191" t="s">
        <v>3064</v>
      </c>
      <c r="G191" t="s">
        <v>3563</v>
      </c>
    </row>
    <row r="192" ht="11.25" customHeight="1">
      <c r="A192" s="373" t="s">
        <v>16</v>
      </c>
      <c r="B192" t="s">
        <v>3556</v>
      </c>
      <c r="C192" t="s">
        <v>3557</v>
      </c>
      <c r="D192" t="s">
        <v>3564</v>
      </c>
      <c r="E192" t="s">
        <v>3565</v>
      </c>
      <c r="F192" t="s">
        <v>3064</v>
      </c>
      <c r="G192" t="s">
        <v>3566</v>
      </c>
    </row>
    <row r="193" ht="11.25" customHeight="1">
      <c r="A193" s="373" t="s">
        <v>16</v>
      </c>
      <c r="B193" t="s">
        <v>3556</v>
      </c>
      <c r="C193" t="s">
        <v>3557</v>
      </c>
      <c r="D193" t="s">
        <v>3567</v>
      </c>
      <c r="E193" t="s">
        <v>3568</v>
      </c>
      <c r="F193" t="s">
        <v>3064</v>
      </c>
      <c r="G193" t="s">
        <v>3569</v>
      </c>
    </row>
    <row r="194" ht="11.25" customHeight="1">
      <c r="A194" s="373" t="s">
        <v>16</v>
      </c>
      <c r="B194" t="s">
        <v>3556</v>
      </c>
      <c r="C194" t="s">
        <v>3557</v>
      </c>
      <c r="D194" t="s">
        <v>3556</v>
      </c>
      <c r="E194" t="s">
        <v>3557</v>
      </c>
      <c r="F194" t="s">
        <v>3058</v>
      </c>
      <c r="G194" t="s">
        <v>3570</v>
      </c>
    </row>
    <row r="195" ht="11.25" customHeight="1">
      <c r="A195" s="373" t="s">
        <v>16</v>
      </c>
      <c r="B195" t="s">
        <v>3556</v>
      </c>
      <c r="C195" t="s">
        <v>3557</v>
      </c>
      <c r="D195" t="s">
        <v>3571</v>
      </c>
      <c r="E195" t="s">
        <v>3572</v>
      </c>
      <c r="F195" t="s">
        <v>3061</v>
      </c>
      <c r="G195" t="s">
        <v>3573</v>
      </c>
    </row>
    <row r="196" ht="11.25" customHeight="1">
      <c r="A196" s="373" t="s">
        <v>16</v>
      </c>
      <c r="B196" t="s">
        <v>3574</v>
      </c>
      <c r="C196" t="s">
        <v>3575</v>
      </c>
      <c r="D196" t="s">
        <v>3574</v>
      </c>
      <c r="E196" t="s">
        <v>3575</v>
      </c>
      <c r="F196" t="s">
        <v>3055</v>
      </c>
      <c r="G196" t="s">
        <v>3576</v>
      </c>
    </row>
    <row r="197" ht="11.25" customHeight="1">
      <c r="A197" s="373" t="s">
        <v>16</v>
      </c>
      <c r="B197" t="s">
        <v>3577</v>
      </c>
      <c r="C197" t="s">
        <v>3578</v>
      </c>
      <c r="D197" t="s">
        <v>3190</v>
      </c>
      <c r="E197" t="s">
        <v>3579</v>
      </c>
      <c r="F197" t="s">
        <v>3064</v>
      </c>
      <c r="G197" t="s">
        <v>3580</v>
      </c>
    </row>
    <row r="198" ht="11.25" customHeight="1">
      <c r="A198" s="373" t="s">
        <v>16</v>
      </c>
      <c r="B198" t="s">
        <v>3577</v>
      </c>
      <c r="C198" t="s">
        <v>3578</v>
      </c>
      <c r="D198" t="s">
        <v>3581</v>
      </c>
      <c r="E198" t="s">
        <v>3582</v>
      </c>
      <c r="F198" t="s">
        <v>3064</v>
      </c>
      <c r="G198" t="s">
        <v>3583</v>
      </c>
    </row>
    <row r="199" ht="11.25" customHeight="1">
      <c r="A199" s="373" t="s">
        <v>16</v>
      </c>
      <c r="B199" t="s">
        <v>3577</v>
      </c>
      <c r="C199" t="s">
        <v>3578</v>
      </c>
      <c r="D199" t="s">
        <v>3584</v>
      </c>
      <c r="E199" t="s">
        <v>3585</v>
      </c>
      <c r="F199" t="s">
        <v>3064</v>
      </c>
      <c r="G199" t="s">
        <v>3586</v>
      </c>
    </row>
    <row r="200" ht="11.25" customHeight="1">
      <c r="A200" s="373" t="s">
        <v>16</v>
      </c>
      <c r="B200" t="s">
        <v>3577</v>
      </c>
      <c r="C200" t="s">
        <v>3578</v>
      </c>
      <c r="D200" t="s">
        <v>3501</v>
      </c>
      <c r="E200" t="s">
        <v>3587</v>
      </c>
      <c r="F200" t="s">
        <v>3064</v>
      </c>
      <c r="G200" t="s">
        <v>3588</v>
      </c>
    </row>
    <row r="201" ht="11.25" customHeight="1">
      <c r="A201" s="373" t="s">
        <v>16</v>
      </c>
      <c r="B201" t="s">
        <v>3577</v>
      </c>
      <c r="C201" t="s">
        <v>3578</v>
      </c>
      <c r="D201" t="s">
        <v>3589</v>
      </c>
      <c r="E201" t="s">
        <v>3590</v>
      </c>
      <c r="F201" t="s">
        <v>3064</v>
      </c>
      <c r="G201" t="s">
        <v>3591</v>
      </c>
    </row>
    <row r="202" ht="11.25" customHeight="1">
      <c r="A202" s="373" t="s">
        <v>16</v>
      </c>
      <c r="B202" t="s">
        <v>3577</v>
      </c>
      <c r="C202" t="s">
        <v>3578</v>
      </c>
      <c r="D202" t="s">
        <v>3592</v>
      </c>
      <c r="E202" t="s">
        <v>3593</v>
      </c>
      <c r="F202" t="s">
        <v>3064</v>
      </c>
      <c r="G202" t="s">
        <v>3594</v>
      </c>
    </row>
    <row r="203" ht="11.25" customHeight="1">
      <c r="A203" s="373" t="s">
        <v>16</v>
      </c>
      <c r="B203" t="s">
        <v>3577</v>
      </c>
      <c r="C203" t="s">
        <v>3578</v>
      </c>
      <c r="D203" t="s">
        <v>3595</v>
      </c>
      <c r="E203" t="s">
        <v>3596</v>
      </c>
      <c r="F203" t="s">
        <v>3064</v>
      </c>
      <c r="G203" t="s">
        <v>3597</v>
      </c>
    </row>
    <row r="204" ht="11.25" customHeight="1">
      <c r="A204" s="373" t="s">
        <v>16</v>
      </c>
      <c r="B204" t="s">
        <v>3577</v>
      </c>
      <c r="C204" t="s">
        <v>3578</v>
      </c>
      <c r="D204" t="s">
        <v>3598</v>
      </c>
      <c r="E204" t="s">
        <v>3599</v>
      </c>
      <c r="F204" t="s">
        <v>3064</v>
      </c>
      <c r="G204" t="s">
        <v>3600</v>
      </c>
    </row>
    <row r="205" ht="11.25" customHeight="1">
      <c r="A205" s="373" t="s">
        <v>16</v>
      </c>
      <c r="B205" t="s">
        <v>3577</v>
      </c>
      <c r="C205" t="s">
        <v>3578</v>
      </c>
      <c r="D205" t="s">
        <v>3601</v>
      </c>
      <c r="E205" t="s">
        <v>3602</v>
      </c>
      <c r="F205" t="s">
        <v>3064</v>
      </c>
      <c r="G205" t="s">
        <v>3603</v>
      </c>
    </row>
    <row r="206" ht="11.25" customHeight="1">
      <c r="A206" s="373" t="s">
        <v>16</v>
      </c>
      <c r="B206" t="s">
        <v>3577</v>
      </c>
      <c r="C206" t="s">
        <v>3578</v>
      </c>
      <c r="D206" t="s">
        <v>3604</v>
      </c>
      <c r="E206" t="s">
        <v>3605</v>
      </c>
      <c r="F206" t="s">
        <v>3064</v>
      </c>
      <c r="G206" t="s">
        <v>3606</v>
      </c>
    </row>
    <row r="207" ht="11.25" customHeight="1">
      <c r="A207" s="373" t="s">
        <v>16</v>
      </c>
      <c r="B207" t="s">
        <v>3577</v>
      </c>
      <c r="C207" t="s">
        <v>3578</v>
      </c>
      <c r="D207" t="s">
        <v>3577</v>
      </c>
      <c r="E207" t="s">
        <v>3578</v>
      </c>
      <c r="F207" t="s">
        <v>3058</v>
      </c>
      <c r="G207" t="s">
        <v>3607</v>
      </c>
    </row>
    <row r="208" ht="11.25" customHeight="1">
      <c r="A208" s="373" t="s">
        <v>16</v>
      </c>
      <c r="B208" t="s">
        <v>3577</v>
      </c>
      <c r="C208" t="s">
        <v>3578</v>
      </c>
      <c r="D208" t="s">
        <v>3608</v>
      </c>
      <c r="E208" t="s">
        <v>3609</v>
      </c>
      <c r="F208" t="s">
        <v>3061</v>
      </c>
      <c r="G208" t="s">
        <v>3610</v>
      </c>
    </row>
    <row r="209" ht="11.25" customHeight="1">
      <c r="A209" s="373" t="s">
        <v>16</v>
      </c>
      <c r="B209" t="s">
        <v>3577</v>
      </c>
      <c r="C209" t="s">
        <v>3578</v>
      </c>
      <c r="D209" t="s">
        <v>3611</v>
      </c>
      <c r="E209" t="s">
        <v>3612</v>
      </c>
      <c r="F209" t="s">
        <v>3064</v>
      </c>
      <c r="G209" t="s">
        <v>3613</v>
      </c>
    </row>
    <row r="210" ht="11.25" customHeight="1">
      <c r="A210" s="373" t="s">
        <v>16</v>
      </c>
      <c r="B210" t="s">
        <v>3577</v>
      </c>
      <c r="C210" t="s">
        <v>3578</v>
      </c>
      <c r="D210" t="s">
        <v>3614</v>
      </c>
      <c r="E210" t="s">
        <v>3615</v>
      </c>
      <c r="F210" t="s">
        <v>3064</v>
      </c>
      <c r="G210" t="s">
        <v>3616</v>
      </c>
    </row>
    <row r="211" ht="11.25" customHeight="1">
      <c r="A211" s="373" t="s">
        <v>16</v>
      </c>
      <c r="B211" t="s">
        <v>3577</v>
      </c>
      <c r="C211" t="s">
        <v>3578</v>
      </c>
      <c r="D211" t="s">
        <v>3617</v>
      </c>
      <c r="E211" t="s">
        <v>3618</v>
      </c>
      <c r="F211" t="s">
        <v>3064</v>
      </c>
      <c r="G211" t="s">
        <v>3619</v>
      </c>
    </row>
    <row r="212" ht="11.25" customHeight="1">
      <c r="A212" s="373" t="s">
        <v>16</v>
      </c>
      <c r="B212" t="s">
        <v>3620</v>
      </c>
      <c r="C212" t="s">
        <v>3621</v>
      </c>
      <c r="D212" t="s">
        <v>3620</v>
      </c>
      <c r="E212" t="s">
        <v>3621</v>
      </c>
      <c r="F212" t="s">
        <v>3055</v>
      </c>
      <c r="G212" t="s">
        <v>3622</v>
      </c>
    </row>
    <row r="213" ht="11.25" customHeight="1">
      <c r="A213" s="373" t="s">
        <v>16</v>
      </c>
      <c r="B213" t="s">
        <v>3623</v>
      </c>
      <c r="C213" t="s">
        <v>3624</v>
      </c>
      <c r="D213" t="s">
        <v>3625</v>
      </c>
      <c r="E213" t="s">
        <v>3626</v>
      </c>
      <c r="F213" t="s">
        <v>3064</v>
      </c>
      <c r="G213" t="s">
        <v>3627</v>
      </c>
    </row>
    <row r="214" ht="11.25" customHeight="1">
      <c r="A214" s="373" t="s">
        <v>16</v>
      </c>
      <c r="B214" t="s">
        <v>3623</v>
      </c>
      <c r="C214" t="s">
        <v>3624</v>
      </c>
      <c r="D214" t="s">
        <v>3430</v>
      </c>
      <c r="E214" t="s">
        <v>3628</v>
      </c>
      <c r="F214" t="s">
        <v>3064</v>
      </c>
      <c r="G214" t="s">
        <v>3629</v>
      </c>
    </row>
    <row r="215" ht="11.25" customHeight="1">
      <c r="A215" s="373" t="s">
        <v>16</v>
      </c>
      <c r="B215" t="s">
        <v>3623</v>
      </c>
      <c r="C215" t="s">
        <v>3624</v>
      </c>
      <c r="D215" t="s">
        <v>3630</v>
      </c>
      <c r="E215" t="s">
        <v>3631</v>
      </c>
      <c r="F215" t="s">
        <v>3064</v>
      </c>
      <c r="G215" t="s">
        <v>3632</v>
      </c>
    </row>
    <row r="216" ht="11.25" customHeight="1">
      <c r="A216" s="373" t="s">
        <v>16</v>
      </c>
      <c r="B216" t="s">
        <v>3623</v>
      </c>
      <c r="C216" t="s">
        <v>3624</v>
      </c>
      <c r="D216" t="s">
        <v>3633</v>
      </c>
      <c r="E216" t="s">
        <v>3634</v>
      </c>
      <c r="F216" t="s">
        <v>3064</v>
      </c>
      <c r="G216" t="s">
        <v>3635</v>
      </c>
    </row>
    <row r="217" ht="11.25" customHeight="1">
      <c r="A217" s="373" t="s">
        <v>16</v>
      </c>
      <c r="B217" t="s">
        <v>3623</v>
      </c>
      <c r="C217" t="s">
        <v>3624</v>
      </c>
      <c r="D217" t="s">
        <v>3636</v>
      </c>
      <c r="E217" t="s">
        <v>3637</v>
      </c>
      <c r="F217" t="s">
        <v>3064</v>
      </c>
      <c r="G217" t="s">
        <v>3638</v>
      </c>
    </row>
    <row r="218" ht="11.25" customHeight="1">
      <c r="A218" s="373" t="s">
        <v>16</v>
      </c>
      <c r="B218" t="s">
        <v>3623</v>
      </c>
      <c r="C218" t="s">
        <v>3624</v>
      </c>
      <c r="D218" t="s">
        <v>3639</v>
      </c>
      <c r="E218" t="s">
        <v>3640</v>
      </c>
      <c r="F218" t="s">
        <v>3064</v>
      </c>
      <c r="G218" t="s">
        <v>3641</v>
      </c>
    </row>
    <row r="219" ht="11.25" customHeight="1">
      <c r="A219" s="373" t="s">
        <v>16</v>
      </c>
      <c r="B219" t="s">
        <v>3623</v>
      </c>
      <c r="C219" t="s">
        <v>3624</v>
      </c>
      <c r="D219" t="s">
        <v>3642</v>
      </c>
      <c r="E219" t="s">
        <v>3643</v>
      </c>
      <c r="F219" t="s">
        <v>3064</v>
      </c>
      <c r="G219" t="s">
        <v>3644</v>
      </c>
    </row>
    <row r="220" ht="11.25" customHeight="1">
      <c r="A220" s="373" t="s">
        <v>16</v>
      </c>
      <c r="B220" t="s">
        <v>3623</v>
      </c>
      <c r="C220" t="s">
        <v>3624</v>
      </c>
      <c r="D220" t="s">
        <v>3645</v>
      </c>
      <c r="E220" t="s">
        <v>3646</v>
      </c>
      <c r="F220" t="s">
        <v>3064</v>
      </c>
      <c r="G220" t="s">
        <v>3647</v>
      </c>
    </row>
    <row r="221" ht="11.25" customHeight="1">
      <c r="A221" s="373" t="s">
        <v>16</v>
      </c>
      <c r="B221" t="s">
        <v>3623</v>
      </c>
      <c r="C221" t="s">
        <v>3624</v>
      </c>
      <c r="D221" t="s">
        <v>3648</v>
      </c>
      <c r="E221" t="s">
        <v>3649</v>
      </c>
      <c r="F221" t="s">
        <v>3064</v>
      </c>
      <c r="G221" t="s">
        <v>3650</v>
      </c>
    </row>
    <row r="222" ht="11.25" customHeight="1">
      <c r="A222" s="373" t="s">
        <v>16</v>
      </c>
      <c r="B222" t="s">
        <v>3623</v>
      </c>
      <c r="C222" t="s">
        <v>3624</v>
      </c>
      <c r="D222" t="s">
        <v>3651</v>
      </c>
      <c r="E222" t="s">
        <v>3652</v>
      </c>
      <c r="F222" t="s">
        <v>3064</v>
      </c>
      <c r="G222" t="s">
        <v>3653</v>
      </c>
    </row>
    <row r="223" ht="11.25" customHeight="1">
      <c r="A223" s="373" t="s">
        <v>16</v>
      </c>
      <c r="B223" t="s">
        <v>3623</v>
      </c>
      <c r="C223" t="s">
        <v>3624</v>
      </c>
      <c r="D223" t="s">
        <v>3654</v>
      </c>
      <c r="E223" t="s">
        <v>3655</v>
      </c>
      <c r="F223" t="s">
        <v>3064</v>
      </c>
      <c r="G223" t="s">
        <v>3656</v>
      </c>
    </row>
    <row r="224" ht="11.25" customHeight="1">
      <c r="A224" s="373" t="s">
        <v>16</v>
      </c>
      <c r="B224" t="s">
        <v>3623</v>
      </c>
      <c r="C224" t="s">
        <v>3624</v>
      </c>
      <c r="D224" t="s">
        <v>3657</v>
      </c>
      <c r="E224" t="s">
        <v>3658</v>
      </c>
      <c r="F224" t="s">
        <v>3064</v>
      </c>
      <c r="G224" t="s">
        <v>3659</v>
      </c>
    </row>
    <row r="225" ht="11.25" customHeight="1">
      <c r="A225" s="373" t="s">
        <v>16</v>
      </c>
      <c r="B225" t="s">
        <v>3623</v>
      </c>
      <c r="C225" t="s">
        <v>3624</v>
      </c>
      <c r="D225" t="s">
        <v>3660</v>
      </c>
      <c r="E225" t="s">
        <v>3661</v>
      </c>
      <c r="F225" t="s">
        <v>3064</v>
      </c>
      <c r="G225" t="s">
        <v>3662</v>
      </c>
    </row>
    <row r="226" ht="11.25" customHeight="1">
      <c r="A226" s="373" t="s">
        <v>16</v>
      </c>
      <c r="B226" t="s">
        <v>3623</v>
      </c>
      <c r="C226" t="s">
        <v>3624</v>
      </c>
      <c r="D226" t="s">
        <v>3623</v>
      </c>
      <c r="E226" t="s">
        <v>3624</v>
      </c>
      <c r="F226" t="s">
        <v>3058</v>
      </c>
      <c r="G226" t="s">
        <v>3663</v>
      </c>
    </row>
    <row r="227" ht="11.25" customHeight="1">
      <c r="A227" s="373" t="s">
        <v>16</v>
      </c>
      <c r="B227" t="s">
        <v>3623</v>
      </c>
      <c r="C227" t="s">
        <v>3624</v>
      </c>
      <c r="D227" t="s">
        <v>3664</v>
      </c>
      <c r="E227" t="s">
        <v>3665</v>
      </c>
      <c r="F227" t="s">
        <v>3064</v>
      </c>
      <c r="G227" t="s">
        <v>3666</v>
      </c>
    </row>
    <row r="228" ht="11.25" customHeight="1">
      <c r="A228" s="373" t="s">
        <v>16</v>
      </c>
      <c r="B228" t="s">
        <v>3623</v>
      </c>
      <c r="C228" t="s">
        <v>3624</v>
      </c>
      <c r="D228" t="s">
        <v>3667</v>
      </c>
      <c r="E228" t="s">
        <v>3668</v>
      </c>
      <c r="F228" t="s">
        <v>3064</v>
      </c>
      <c r="G228" t="s">
        <v>3669</v>
      </c>
    </row>
    <row r="229" ht="11.25" customHeight="1">
      <c r="A229" s="373" t="s">
        <v>16</v>
      </c>
      <c r="B229" t="s">
        <v>3670</v>
      </c>
      <c r="C229" t="s">
        <v>3671</v>
      </c>
      <c r="D229" t="s">
        <v>3670</v>
      </c>
      <c r="E229" t="s">
        <v>3671</v>
      </c>
      <c r="F229" t="s">
        <v>3055</v>
      </c>
      <c r="G229" t="s">
        <v>3672</v>
      </c>
    </row>
    <row r="230" ht="11.25" customHeight="1">
      <c r="A230" s="373" t="s">
        <v>16</v>
      </c>
      <c r="B230" t="s">
        <v>3673</v>
      </c>
      <c r="C230" t="s">
        <v>3674</v>
      </c>
      <c r="D230" t="s">
        <v>3675</v>
      </c>
      <c r="E230" t="s">
        <v>3676</v>
      </c>
      <c r="F230" t="s">
        <v>3064</v>
      </c>
      <c r="G230" t="s">
        <v>3677</v>
      </c>
    </row>
    <row r="231" ht="11.25" customHeight="1">
      <c r="A231" s="373" t="s">
        <v>16</v>
      </c>
      <c r="B231" t="s">
        <v>3673</v>
      </c>
      <c r="C231" t="s">
        <v>3674</v>
      </c>
      <c r="D231" t="s">
        <v>3678</v>
      </c>
      <c r="E231" t="s">
        <v>3679</v>
      </c>
      <c r="F231" t="s">
        <v>3064</v>
      </c>
      <c r="G231" t="s">
        <v>3680</v>
      </c>
    </row>
    <row r="232" ht="11.25" customHeight="1">
      <c r="A232" s="373" t="s">
        <v>16</v>
      </c>
      <c r="B232" t="s">
        <v>3673</v>
      </c>
      <c r="C232" t="s">
        <v>3674</v>
      </c>
      <c r="D232" t="s">
        <v>3681</v>
      </c>
      <c r="E232" t="s">
        <v>3682</v>
      </c>
      <c r="F232" t="s">
        <v>3064</v>
      </c>
      <c r="G232" t="s">
        <v>3683</v>
      </c>
    </row>
    <row r="233" ht="11.25" customHeight="1">
      <c r="A233" s="373" t="s">
        <v>16</v>
      </c>
      <c r="B233" t="s">
        <v>3673</v>
      </c>
      <c r="C233" t="s">
        <v>3674</v>
      </c>
      <c r="D233" t="s">
        <v>3684</v>
      </c>
      <c r="E233" t="s">
        <v>3685</v>
      </c>
      <c r="F233" t="s">
        <v>3064</v>
      </c>
      <c r="G233" t="s">
        <v>3686</v>
      </c>
    </row>
    <row r="234" ht="11.25" customHeight="1">
      <c r="A234" s="373" t="s">
        <v>16</v>
      </c>
      <c r="B234" t="s">
        <v>3673</v>
      </c>
      <c r="C234" t="s">
        <v>3674</v>
      </c>
      <c r="D234" t="s">
        <v>3687</v>
      </c>
      <c r="E234" t="s">
        <v>3688</v>
      </c>
      <c r="F234" t="s">
        <v>3061</v>
      </c>
      <c r="G234" t="s">
        <v>3689</v>
      </c>
    </row>
    <row r="235" ht="11.25" customHeight="1">
      <c r="A235" s="373" t="s">
        <v>16</v>
      </c>
      <c r="B235" t="s">
        <v>3673</v>
      </c>
      <c r="C235" t="s">
        <v>3674</v>
      </c>
      <c r="D235" t="s">
        <v>3690</v>
      </c>
      <c r="E235" t="s">
        <v>3691</v>
      </c>
      <c r="F235" t="s">
        <v>3061</v>
      </c>
      <c r="G235" t="s">
        <v>3692</v>
      </c>
    </row>
    <row r="236" ht="11.25" customHeight="1">
      <c r="A236" s="373" t="s">
        <v>16</v>
      </c>
      <c r="B236" t="s">
        <v>3673</v>
      </c>
      <c r="C236" t="s">
        <v>3674</v>
      </c>
      <c r="D236" t="s">
        <v>3540</v>
      </c>
      <c r="E236" t="s">
        <v>3693</v>
      </c>
      <c r="F236" t="s">
        <v>3064</v>
      </c>
      <c r="G236" t="s">
        <v>3694</v>
      </c>
    </row>
    <row r="237" ht="11.25" customHeight="1">
      <c r="A237" s="373" t="s">
        <v>16</v>
      </c>
      <c r="B237" t="s">
        <v>3673</v>
      </c>
      <c r="C237" t="s">
        <v>3674</v>
      </c>
      <c r="D237" t="s">
        <v>3673</v>
      </c>
      <c r="E237" t="s">
        <v>3674</v>
      </c>
      <c r="F237" t="s">
        <v>3058</v>
      </c>
      <c r="G237" t="s">
        <v>3695</v>
      </c>
    </row>
    <row r="238" ht="11.25" customHeight="1">
      <c r="A238" s="373" t="s">
        <v>16</v>
      </c>
      <c r="B238" t="s">
        <v>3673</v>
      </c>
      <c r="C238" t="s">
        <v>3674</v>
      </c>
      <c r="D238" t="s">
        <v>3696</v>
      </c>
      <c r="E238" t="s">
        <v>3697</v>
      </c>
      <c r="F238" t="s">
        <v>3064</v>
      </c>
      <c r="G238" t="s">
        <v>3698</v>
      </c>
    </row>
    <row r="239" ht="11.25" customHeight="1">
      <c r="A239" s="373" t="s">
        <v>16</v>
      </c>
      <c r="B239" t="s">
        <v>3673</v>
      </c>
      <c r="C239" t="s">
        <v>3674</v>
      </c>
      <c r="D239" t="s">
        <v>3699</v>
      </c>
      <c r="E239" t="s">
        <v>3700</v>
      </c>
      <c r="F239" t="s">
        <v>3064</v>
      </c>
      <c r="G239" t="s">
        <v>3701</v>
      </c>
    </row>
    <row r="240" ht="11.25" customHeight="1">
      <c r="A240" s="373" t="s">
        <v>16</v>
      </c>
      <c r="B240" t="s">
        <v>3702</v>
      </c>
      <c r="C240" t="s">
        <v>3703</v>
      </c>
      <c r="D240" t="s">
        <v>3702</v>
      </c>
      <c r="E240" t="s">
        <v>3703</v>
      </c>
      <c r="F240" t="s">
        <v>3055</v>
      </c>
      <c r="G240" t="s">
        <v>3704</v>
      </c>
    </row>
    <row r="241" ht="11.25" customHeight="1">
      <c r="A241" s="373" t="s">
        <v>16</v>
      </c>
      <c r="B241" t="s">
        <v>3705</v>
      </c>
      <c r="C241" t="s">
        <v>3706</v>
      </c>
      <c r="D241" t="s">
        <v>3707</v>
      </c>
      <c r="E241" t="s">
        <v>3708</v>
      </c>
      <c r="F241" t="s">
        <v>3064</v>
      </c>
      <c r="G241" t="s">
        <v>3709</v>
      </c>
    </row>
    <row r="242" ht="11.25" customHeight="1">
      <c r="A242" s="373" t="s">
        <v>16</v>
      </c>
      <c r="B242" t="s">
        <v>3705</v>
      </c>
      <c r="C242" t="s">
        <v>3706</v>
      </c>
      <c r="D242" t="s">
        <v>3636</v>
      </c>
      <c r="E242" t="s">
        <v>3710</v>
      </c>
      <c r="F242" t="s">
        <v>3064</v>
      </c>
      <c r="G242" t="s">
        <v>3711</v>
      </c>
    </row>
    <row r="243" ht="11.25" customHeight="1">
      <c r="A243" s="373" t="s">
        <v>16</v>
      </c>
      <c r="B243" t="s">
        <v>3705</v>
      </c>
      <c r="C243" t="s">
        <v>3706</v>
      </c>
      <c r="D243" t="s">
        <v>3712</v>
      </c>
      <c r="E243" t="s">
        <v>3713</v>
      </c>
      <c r="F243" t="s">
        <v>3064</v>
      </c>
      <c r="G243" t="s">
        <v>3714</v>
      </c>
    </row>
    <row r="244" ht="11.25" customHeight="1">
      <c r="A244" s="373" t="s">
        <v>16</v>
      </c>
      <c r="B244" t="s">
        <v>3705</v>
      </c>
      <c r="C244" t="s">
        <v>3706</v>
      </c>
      <c r="D244" t="s">
        <v>3715</v>
      </c>
      <c r="E244" t="s">
        <v>3716</v>
      </c>
      <c r="F244" t="s">
        <v>3064</v>
      </c>
      <c r="G244" t="s">
        <v>3717</v>
      </c>
    </row>
    <row r="245" ht="11.25" customHeight="1">
      <c r="A245" s="373" t="s">
        <v>16</v>
      </c>
      <c r="B245" t="s">
        <v>3705</v>
      </c>
      <c r="C245" t="s">
        <v>3706</v>
      </c>
      <c r="D245" t="s">
        <v>3718</v>
      </c>
      <c r="E245" t="s">
        <v>3719</v>
      </c>
      <c r="F245" t="s">
        <v>3064</v>
      </c>
      <c r="G245" t="s">
        <v>3720</v>
      </c>
    </row>
    <row r="246" ht="11.25" customHeight="1">
      <c r="A246" s="373" t="s">
        <v>16</v>
      </c>
      <c r="B246" t="s">
        <v>3705</v>
      </c>
      <c r="C246" t="s">
        <v>3706</v>
      </c>
      <c r="D246" t="s">
        <v>3721</v>
      </c>
      <c r="E246" t="s">
        <v>3722</v>
      </c>
      <c r="F246" t="s">
        <v>3064</v>
      </c>
      <c r="G246" t="s">
        <v>3723</v>
      </c>
    </row>
    <row r="247" ht="11.25" customHeight="1">
      <c r="A247" s="373" t="s">
        <v>16</v>
      </c>
      <c r="B247" t="s">
        <v>3705</v>
      </c>
      <c r="C247" t="s">
        <v>3706</v>
      </c>
      <c r="D247" t="s">
        <v>3724</v>
      </c>
      <c r="E247" t="s">
        <v>3725</v>
      </c>
      <c r="F247" t="s">
        <v>3064</v>
      </c>
      <c r="G247" t="s">
        <v>3726</v>
      </c>
    </row>
    <row r="248" ht="11.25" customHeight="1">
      <c r="A248" s="373" t="s">
        <v>16</v>
      </c>
      <c r="B248" t="s">
        <v>3705</v>
      </c>
      <c r="C248" t="s">
        <v>3706</v>
      </c>
      <c r="D248" t="s">
        <v>3727</v>
      </c>
      <c r="E248" t="s">
        <v>3728</v>
      </c>
      <c r="F248" t="s">
        <v>3064</v>
      </c>
      <c r="G248" t="s">
        <v>3729</v>
      </c>
    </row>
    <row r="249" ht="11.25" customHeight="1">
      <c r="A249" s="373" t="s">
        <v>16</v>
      </c>
      <c r="B249" t="s">
        <v>3705</v>
      </c>
      <c r="C249" t="s">
        <v>3706</v>
      </c>
      <c r="D249" t="s">
        <v>3730</v>
      </c>
      <c r="E249" t="s">
        <v>3731</v>
      </c>
      <c r="F249" t="s">
        <v>3064</v>
      </c>
      <c r="G249" t="s">
        <v>3732</v>
      </c>
    </row>
    <row r="250" ht="11.25" customHeight="1">
      <c r="A250" s="373" t="s">
        <v>16</v>
      </c>
      <c r="B250" t="s">
        <v>3705</v>
      </c>
      <c r="C250" t="s">
        <v>3706</v>
      </c>
      <c r="D250" t="s">
        <v>3733</v>
      </c>
      <c r="E250" t="s">
        <v>3734</v>
      </c>
      <c r="F250" t="s">
        <v>3064</v>
      </c>
      <c r="G250" t="s">
        <v>3735</v>
      </c>
    </row>
    <row r="251" ht="11.25" customHeight="1">
      <c r="A251" s="373" t="s">
        <v>16</v>
      </c>
      <c r="B251" t="s">
        <v>3705</v>
      </c>
      <c r="C251" t="s">
        <v>3706</v>
      </c>
      <c r="D251" t="s">
        <v>3736</v>
      </c>
      <c r="E251" t="s">
        <v>3737</v>
      </c>
      <c r="F251" t="s">
        <v>3064</v>
      </c>
      <c r="G251" t="s">
        <v>3738</v>
      </c>
    </row>
    <row r="252" ht="11.25" customHeight="1">
      <c r="A252" s="373" t="s">
        <v>16</v>
      </c>
      <c r="B252" t="s">
        <v>3705</v>
      </c>
      <c r="C252" t="s">
        <v>3706</v>
      </c>
      <c r="D252" t="s">
        <v>3739</v>
      </c>
      <c r="E252" t="s">
        <v>3740</v>
      </c>
      <c r="F252" t="s">
        <v>3064</v>
      </c>
      <c r="G252" t="s">
        <v>3741</v>
      </c>
    </row>
    <row r="253" ht="11.25" customHeight="1">
      <c r="A253" s="373" t="s">
        <v>16</v>
      </c>
      <c r="B253" t="s">
        <v>3705</v>
      </c>
      <c r="C253" t="s">
        <v>3706</v>
      </c>
      <c r="D253" t="s">
        <v>3742</v>
      </c>
      <c r="E253" t="s">
        <v>3743</v>
      </c>
      <c r="F253" t="s">
        <v>3064</v>
      </c>
      <c r="G253" t="s">
        <v>3744</v>
      </c>
    </row>
    <row r="254" ht="11.25" customHeight="1">
      <c r="A254" s="373" t="s">
        <v>16</v>
      </c>
      <c r="B254" t="s">
        <v>3705</v>
      </c>
      <c r="C254" t="s">
        <v>3706</v>
      </c>
      <c r="D254" t="s">
        <v>3745</v>
      </c>
      <c r="E254" t="s">
        <v>3746</v>
      </c>
      <c r="F254" t="s">
        <v>3218</v>
      </c>
      <c r="G254" t="s">
        <v>3747</v>
      </c>
    </row>
    <row r="255" ht="11.25" customHeight="1">
      <c r="A255" s="373" t="s">
        <v>16</v>
      </c>
      <c r="B255" t="s">
        <v>3705</v>
      </c>
      <c r="C255" t="s">
        <v>3706</v>
      </c>
      <c r="D255" t="s">
        <v>3705</v>
      </c>
      <c r="E255" t="s">
        <v>3706</v>
      </c>
      <c r="F255" t="s">
        <v>3058</v>
      </c>
      <c r="G255" t="s">
        <v>3748</v>
      </c>
    </row>
    <row r="256" ht="11.25" customHeight="1">
      <c r="A256" s="373" t="s">
        <v>16</v>
      </c>
      <c r="B256" t="s">
        <v>3705</v>
      </c>
      <c r="C256" t="s">
        <v>3706</v>
      </c>
      <c r="D256" t="s">
        <v>3749</v>
      </c>
      <c r="E256" t="s">
        <v>3750</v>
      </c>
      <c r="F256" t="s">
        <v>3064</v>
      </c>
      <c r="G256" t="s">
        <v>3751</v>
      </c>
    </row>
    <row r="257" ht="11.25" customHeight="1">
      <c r="A257" s="373" t="s">
        <v>16</v>
      </c>
      <c r="B257" t="s">
        <v>3705</v>
      </c>
      <c r="C257" t="s">
        <v>3706</v>
      </c>
      <c r="D257" t="s">
        <v>3752</v>
      </c>
      <c r="E257" t="s">
        <v>3753</v>
      </c>
      <c r="F257" t="s">
        <v>3064</v>
      </c>
      <c r="G257" t="s">
        <v>3754</v>
      </c>
    </row>
    <row r="258" ht="11.25" customHeight="1">
      <c r="A258" s="373" t="s">
        <v>16</v>
      </c>
      <c r="B258" t="s">
        <v>3755</v>
      </c>
      <c r="C258" t="s">
        <v>3756</v>
      </c>
      <c r="D258" t="s">
        <v>3755</v>
      </c>
      <c r="E258" t="s">
        <v>3756</v>
      </c>
      <c r="F258" t="s">
        <v>3055</v>
      </c>
      <c r="G258" t="s">
        <v>3757</v>
      </c>
    </row>
    <row r="259" ht="11.25" customHeight="1">
      <c r="A259" s="373" t="s">
        <v>16</v>
      </c>
      <c r="B259" t="s">
        <v>3758</v>
      </c>
      <c r="C259" t="s">
        <v>3759</v>
      </c>
      <c r="D259" t="s">
        <v>3760</v>
      </c>
      <c r="E259" t="s">
        <v>3761</v>
      </c>
      <c r="F259" t="s">
        <v>3064</v>
      </c>
      <c r="G259" t="s">
        <v>3762</v>
      </c>
    </row>
    <row r="260" ht="11.25" customHeight="1">
      <c r="A260" s="373" t="s">
        <v>16</v>
      </c>
      <c r="B260" t="s">
        <v>3758</v>
      </c>
      <c r="C260" t="s">
        <v>3759</v>
      </c>
      <c r="D260" t="s">
        <v>3763</v>
      </c>
      <c r="E260" t="s">
        <v>3764</v>
      </c>
      <c r="F260" t="s">
        <v>3064</v>
      </c>
      <c r="G260" t="s">
        <v>3765</v>
      </c>
    </row>
    <row r="261" ht="11.25" customHeight="1">
      <c r="A261" s="373" t="s">
        <v>16</v>
      </c>
      <c r="B261" t="s">
        <v>3758</v>
      </c>
      <c r="C261" t="s">
        <v>3759</v>
      </c>
      <c r="D261" t="s">
        <v>3766</v>
      </c>
      <c r="E261" t="s">
        <v>3767</v>
      </c>
      <c r="F261" t="s">
        <v>3064</v>
      </c>
      <c r="G261" t="s">
        <v>3768</v>
      </c>
    </row>
    <row r="262" ht="11.25" customHeight="1">
      <c r="A262" s="373" t="s">
        <v>16</v>
      </c>
      <c r="B262" t="s">
        <v>3758</v>
      </c>
      <c r="C262" t="s">
        <v>3759</v>
      </c>
      <c r="D262" t="s">
        <v>3769</v>
      </c>
      <c r="E262" t="s">
        <v>3770</v>
      </c>
      <c r="F262" t="s">
        <v>3064</v>
      </c>
      <c r="G262" t="s">
        <v>3771</v>
      </c>
    </row>
    <row r="263" ht="11.25" customHeight="1">
      <c r="A263" s="373" t="s">
        <v>16</v>
      </c>
      <c r="B263" t="s">
        <v>3758</v>
      </c>
      <c r="C263" t="s">
        <v>3759</v>
      </c>
      <c r="D263" t="s">
        <v>3772</v>
      </c>
      <c r="E263" t="s">
        <v>3773</v>
      </c>
      <c r="F263" t="s">
        <v>3064</v>
      </c>
      <c r="G263" t="s">
        <v>3774</v>
      </c>
    </row>
    <row r="264" ht="11.25" customHeight="1">
      <c r="A264" s="373" t="s">
        <v>16</v>
      </c>
      <c r="B264" t="s">
        <v>3758</v>
      </c>
      <c r="C264" t="s">
        <v>3759</v>
      </c>
      <c r="D264" t="s">
        <v>3758</v>
      </c>
      <c r="E264" t="s">
        <v>3759</v>
      </c>
      <c r="F264" t="s">
        <v>3058</v>
      </c>
      <c r="G264" t="s">
        <v>3775</v>
      </c>
    </row>
    <row r="265" ht="11.25" customHeight="1">
      <c r="A265" s="373" t="s">
        <v>16</v>
      </c>
      <c r="B265" t="s">
        <v>3758</v>
      </c>
      <c r="C265" t="s">
        <v>3759</v>
      </c>
      <c r="D265" t="s">
        <v>3776</v>
      </c>
      <c r="E265" t="s">
        <v>3777</v>
      </c>
      <c r="F265" t="s">
        <v>3061</v>
      </c>
      <c r="G265" t="s">
        <v>3778</v>
      </c>
    </row>
    <row r="266" ht="11.25" customHeight="1">
      <c r="A266" s="373" t="s">
        <v>16</v>
      </c>
      <c r="B266" t="s">
        <v>3758</v>
      </c>
      <c r="C266" t="s">
        <v>3759</v>
      </c>
      <c r="D266" t="s">
        <v>3779</v>
      </c>
      <c r="E266" t="s">
        <v>3780</v>
      </c>
      <c r="F266" t="s">
        <v>3064</v>
      </c>
      <c r="G266" t="s">
        <v>3781</v>
      </c>
    </row>
    <row r="267" ht="11.25" customHeight="1">
      <c r="A267" s="373" t="s">
        <v>16</v>
      </c>
      <c r="B267" t="s">
        <v>3782</v>
      </c>
      <c r="C267" t="s">
        <v>3783</v>
      </c>
      <c r="D267" t="s">
        <v>3782</v>
      </c>
      <c r="E267" t="s">
        <v>3783</v>
      </c>
      <c r="F267" t="s">
        <v>3055</v>
      </c>
      <c r="G267" t="s">
        <v>3784</v>
      </c>
    </row>
    <row r="268" ht="11.25" customHeight="1">
      <c r="A268" s="373" t="s">
        <v>16</v>
      </c>
      <c r="B268" t="s">
        <v>3785</v>
      </c>
      <c r="C268" t="s">
        <v>3786</v>
      </c>
      <c r="D268" t="s">
        <v>3787</v>
      </c>
      <c r="E268" t="s">
        <v>3788</v>
      </c>
      <c r="F268" t="s">
        <v>3064</v>
      </c>
      <c r="G268" t="s">
        <v>3789</v>
      </c>
    </row>
    <row r="269" ht="11.25" customHeight="1">
      <c r="A269" s="373" t="s">
        <v>16</v>
      </c>
      <c r="B269" t="s">
        <v>3785</v>
      </c>
      <c r="C269" t="s">
        <v>3786</v>
      </c>
      <c r="D269" t="s">
        <v>3790</v>
      </c>
      <c r="E269" t="s">
        <v>3791</v>
      </c>
      <c r="F269" t="s">
        <v>3064</v>
      </c>
      <c r="G269" t="s">
        <v>3792</v>
      </c>
    </row>
    <row r="270" ht="11.25" customHeight="1">
      <c r="A270" s="373" t="s">
        <v>16</v>
      </c>
      <c r="B270" t="s">
        <v>3785</v>
      </c>
      <c r="C270" t="s">
        <v>3786</v>
      </c>
      <c r="D270" t="s">
        <v>3793</v>
      </c>
      <c r="E270" t="s">
        <v>3794</v>
      </c>
      <c r="F270" t="s">
        <v>3064</v>
      </c>
      <c r="G270" t="s">
        <v>3795</v>
      </c>
    </row>
    <row r="271" ht="11.25" customHeight="1">
      <c r="A271" s="373" t="s">
        <v>16</v>
      </c>
      <c r="B271" t="s">
        <v>3785</v>
      </c>
      <c r="C271" t="s">
        <v>3786</v>
      </c>
      <c r="D271" t="s">
        <v>3796</v>
      </c>
      <c r="E271" t="s">
        <v>3797</v>
      </c>
      <c r="F271" t="s">
        <v>3064</v>
      </c>
      <c r="G271" t="s">
        <v>3798</v>
      </c>
    </row>
    <row r="272" ht="11.25" customHeight="1">
      <c r="A272" s="373" t="s">
        <v>16</v>
      </c>
      <c r="B272" t="s">
        <v>3785</v>
      </c>
      <c r="C272" t="s">
        <v>3786</v>
      </c>
      <c r="D272" t="s">
        <v>3785</v>
      </c>
      <c r="E272" t="s">
        <v>3786</v>
      </c>
      <c r="F272" t="s">
        <v>3058</v>
      </c>
      <c r="G272" t="s">
        <v>3799</v>
      </c>
    </row>
    <row r="273" ht="11.25" customHeight="1">
      <c r="A273" s="373" t="s">
        <v>16</v>
      </c>
      <c r="B273" t="s">
        <v>3785</v>
      </c>
      <c r="C273" t="s">
        <v>3786</v>
      </c>
      <c r="D273" t="s">
        <v>3800</v>
      </c>
      <c r="E273" t="s">
        <v>3801</v>
      </c>
      <c r="F273" t="s">
        <v>3061</v>
      </c>
      <c r="G273" t="s">
        <v>3802</v>
      </c>
    </row>
    <row r="274" ht="11.25" customHeight="1">
      <c r="A274" s="373" t="s">
        <v>16</v>
      </c>
      <c r="B274" t="s">
        <v>3803</v>
      </c>
      <c r="C274" t="s">
        <v>3804</v>
      </c>
      <c r="D274" t="s">
        <v>3803</v>
      </c>
      <c r="E274" t="s">
        <v>3804</v>
      </c>
      <c r="F274" t="s">
        <v>3055</v>
      </c>
      <c r="G274" t="s">
        <v>3805</v>
      </c>
    </row>
    <row r="275" ht="11.25" customHeight="1">
      <c r="A275" s="373" t="s">
        <v>16</v>
      </c>
      <c r="B275" t="s">
        <v>3806</v>
      </c>
      <c r="C275" t="s">
        <v>3807</v>
      </c>
      <c r="D275" t="s">
        <v>3808</v>
      </c>
      <c r="E275" t="s">
        <v>3809</v>
      </c>
      <c r="F275" t="s">
        <v>3064</v>
      </c>
      <c r="G275" t="s">
        <v>3810</v>
      </c>
    </row>
    <row r="276" ht="11.25" customHeight="1">
      <c r="A276" s="373" t="s">
        <v>16</v>
      </c>
      <c r="B276" t="s">
        <v>3806</v>
      </c>
      <c r="C276" t="s">
        <v>3807</v>
      </c>
      <c r="D276" t="s">
        <v>3811</v>
      </c>
      <c r="E276" t="s">
        <v>3812</v>
      </c>
      <c r="F276" t="s">
        <v>3064</v>
      </c>
      <c r="G276" t="s">
        <v>3813</v>
      </c>
    </row>
    <row r="277" ht="11.25" customHeight="1">
      <c r="A277" s="373" t="s">
        <v>16</v>
      </c>
      <c r="B277" t="s">
        <v>3806</v>
      </c>
      <c r="C277" t="s">
        <v>3807</v>
      </c>
      <c r="D277" t="s">
        <v>3814</v>
      </c>
      <c r="E277" t="s">
        <v>3815</v>
      </c>
      <c r="F277" t="s">
        <v>3064</v>
      </c>
      <c r="G277" t="s">
        <v>3816</v>
      </c>
    </row>
    <row r="278" ht="11.25" customHeight="1">
      <c r="A278" s="373" t="s">
        <v>16</v>
      </c>
      <c r="B278" t="s">
        <v>3806</v>
      </c>
      <c r="C278" t="s">
        <v>3807</v>
      </c>
      <c r="D278" t="s">
        <v>3817</v>
      </c>
      <c r="E278" t="s">
        <v>3818</v>
      </c>
      <c r="F278" t="s">
        <v>3064</v>
      </c>
      <c r="G278" t="s">
        <v>3819</v>
      </c>
    </row>
    <row r="279" ht="11.25" customHeight="1">
      <c r="A279" s="373" t="s">
        <v>16</v>
      </c>
      <c r="B279" t="s">
        <v>3806</v>
      </c>
      <c r="C279" t="s">
        <v>3807</v>
      </c>
      <c r="D279" t="s">
        <v>3820</v>
      </c>
      <c r="E279" t="s">
        <v>3821</v>
      </c>
      <c r="F279" t="s">
        <v>3064</v>
      </c>
      <c r="G279" t="s">
        <v>3822</v>
      </c>
    </row>
    <row r="280" ht="11.25" customHeight="1">
      <c r="A280" s="373" t="s">
        <v>16</v>
      </c>
      <c r="B280" t="s">
        <v>3806</v>
      </c>
      <c r="C280" t="s">
        <v>3807</v>
      </c>
      <c r="D280" t="s">
        <v>3806</v>
      </c>
      <c r="E280" t="s">
        <v>3807</v>
      </c>
      <c r="F280" t="s">
        <v>3058</v>
      </c>
      <c r="G280" t="s">
        <v>3823</v>
      </c>
    </row>
    <row r="281" ht="11.25" customHeight="1">
      <c r="A281" s="373" t="s">
        <v>16</v>
      </c>
      <c r="B281" t="s">
        <v>3806</v>
      </c>
      <c r="C281" t="s">
        <v>3807</v>
      </c>
      <c r="D281" t="s">
        <v>3824</v>
      </c>
      <c r="E281" t="s">
        <v>3825</v>
      </c>
      <c r="F281" t="s">
        <v>3061</v>
      </c>
      <c r="G281" t="s">
        <v>3826</v>
      </c>
    </row>
    <row r="282" ht="11.25" customHeight="1">
      <c r="A282" s="373" t="s">
        <v>16</v>
      </c>
      <c r="B282" t="s">
        <v>3827</v>
      </c>
      <c r="C282" t="s">
        <v>3828</v>
      </c>
      <c r="D282" t="s">
        <v>3827</v>
      </c>
      <c r="E282" t="s">
        <v>3828</v>
      </c>
      <c r="F282" t="s">
        <v>3055</v>
      </c>
      <c r="G282" t="s">
        <v>3829</v>
      </c>
    </row>
    <row r="283" ht="11.25" customHeight="1">
      <c r="A283" s="373" t="s">
        <v>16</v>
      </c>
      <c r="B283" t="s">
        <v>3830</v>
      </c>
      <c r="C283" t="s">
        <v>3831</v>
      </c>
      <c r="D283" t="s">
        <v>3832</v>
      </c>
      <c r="E283" t="s">
        <v>3833</v>
      </c>
      <c r="F283" t="s">
        <v>3064</v>
      </c>
      <c r="G283" t="s">
        <v>3834</v>
      </c>
    </row>
    <row r="284" ht="11.25" customHeight="1">
      <c r="A284" s="373" t="s">
        <v>16</v>
      </c>
      <c r="B284" t="s">
        <v>3830</v>
      </c>
      <c r="C284" t="s">
        <v>3831</v>
      </c>
      <c r="D284" t="s">
        <v>3835</v>
      </c>
      <c r="E284" t="s">
        <v>3836</v>
      </c>
      <c r="F284" t="s">
        <v>3064</v>
      </c>
      <c r="G284" t="s">
        <v>3837</v>
      </c>
    </row>
    <row r="285" ht="11.25" customHeight="1">
      <c r="A285" s="373" t="s">
        <v>16</v>
      </c>
      <c r="B285" t="s">
        <v>3830</v>
      </c>
      <c r="C285" t="s">
        <v>3831</v>
      </c>
      <c r="D285" t="s">
        <v>3838</v>
      </c>
      <c r="E285" t="s">
        <v>3839</v>
      </c>
      <c r="F285" t="s">
        <v>3064</v>
      </c>
      <c r="G285" t="s">
        <v>3840</v>
      </c>
    </row>
    <row r="286" ht="11.25" customHeight="1">
      <c r="A286" s="373" t="s">
        <v>16</v>
      </c>
      <c r="B286" t="s">
        <v>3830</v>
      </c>
      <c r="C286" t="s">
        <v>3831</v>
      </c>
      <c r="D286" t="s">
        <v>3841</v>
      </c>
      <c r="E286" t="s">
        <v>3842</v>
      </c>
      <c r="F286" t="s">
        <v>3064</v>
      </c>
      <c r="G286" t="s">
        <v>3843</v>
      </c>
    </row>
    <row r="287" ht="11.25" customHeight="1">
      <c r="A287" s="373" t="s">
        <v>16</v>
      </c>
      <c r="B287" t="s">
        <v>3830</v>
      </c>
      <c r="C287" t="s">
        <v>3831</v>
      </c>
      <c r="D287" t="s">
        <v>3844</v>
      </c>
      <c r="E287" t="s">
        <v>3845</v>
      </c>
      <c r="F287" t="s">
        <v>3064</v>
      </c>
      <c r="G287" t="s">
        <v>3846</v>
      </c>
    </row>
    <row r="288" ht="11.25" customHeight="1">
      <c r="A288" s="373" t="s">
        <v>16</v>
      </c>
      <c r="B288" t="s">
        <v>3830</v>
      </c>
      <c r="C288" t="s">
        <v>3831</v>
      </c>
      <c r="D288" t="s">
        <v>3847</v>
      </c>
      <c r="E288" t="s">
        <v>3848</v>
      </c>
      <c r="F288" t="s">
        <v>3064</v>
      </c>
      <c r="G288" t="s">
        <v>3849</v>
      </c>
    </row>
    <row r="289" ht="11.25" customHeight="1">
      <c r="A289" s="373" t="s">
        <v>16</v>
      </c>
      <c r="B289" t="s">
        <v>3830</v>
      </c>
      <c r="C289" t="s">
        <v>3831</v>
      </c>
      <c r="D289" t="s">
        <v>3850</v>
      </c>
      <c r="E289" t="s">
        <v>3851</v>
      </c>
      <c r="F289" t="s">
        <v>3064</v>
      </c>
      <c r="G289" t="s">
        <v>3852</v>
      </c>
    </row>
    <row r="290" ht="11.25" customHeight="1">
      <c r="A290" s="373" t="s">
        <v>16</v>
      </c>
      <c r="B290" t="s">
        <v>3830</v>
      </c>
      <c r="C290" t="s">
        <v>3831</v>
      </c>
      <c r="D290" t="s">
        <v>3853</v>
      </c>
      <c r="E290" t="s">
        <v>3854</v>
      </c>
      <c r="F290" t="s">
        <v>3064</v>
      </c>
      <c r="G290" t="s">
        <v>3855</v>
      </c>
    </row>
    <row r="291" ht="11.25" customHeight="1">
      <c r="A291" s="373" t="s">
        <v>16</v>
      </c>
      <c r="B291" t="s">
        <v>3830</v>
      </c>
      <c r="C291" t="s">
        <v>3831</v>
      </c>
      <c r="D291" t="s">
        <v>3856</v>
      </c>
      <c r="E291" t="s">
        <v>3857</v>
      </c>
      <c r="F291" t="s">
        <v>3064</v>
      </c>
      <c r="G291" t="s">
        <v>3858</v>
      </c>
    </row>
    <row r="292" ht="11.25" customHeight="1">
      <c r="A292" s="373" t="s">
        <v>16</v>
      </c>
      <c r="B292" t="s">
        <v>3830</v>
      </c>
      <c r="C292" t="s">
        <v>3831</v>
      </c>
      <c r="D292" t="s">
        <v>3859</v>
      </c>
      <c r="E292" t="s">
        <v>3860</v>
      </c>
      <c r="F292" t="s">
        <v>3064</v>
      </c>
      <c r="G292" t="s">
        <v>3861</v>
      </c>
    </row>
    <row r="293" ht="11.25" customHeight="1">
      <c r="A293" s="373" t="s">
        <v>16</v>
      </c>
      <c r="B293" t="s">
        <v>3830</v>
      </c>
      <c r="C293" t="s">
        <v>3831</v>
      </c>
      <c r="D293" t="s">
        <v>3862</v>
      </c>
      <c r="E293" t="s">
        <v>3863</v>
      </c>
      <c r="F293" t="s">
        <v>3064</v>
      </c>
      <c r="G293" t="s">
        <v>3864</v>
      </c>
    </row>
    <row r="294" ht="11.25" customHeight="1">
      <c r="A294" s="373" t="s">
        <v>16</v>
      </c>
      <c r="B294" t="s">
        <v>3830</v>
      </c>
      <c r="C294" t="s">
        <v>3831</v>
      </c>
      <c r="D294" t="s">
        <v>3793</v>
      </c>
      <c r="E294" t="s">
        <v>3865</v>
      </c>
      <c r="F294" t="s">
        <v>3064</v>
      </c>
      <c r="G294" t="s">
        <v>3866</v>
      </c>
    </row>
    <row r="295" ht="11.25" customHeight="1">
      <c r="A295" s="373" t="s">
        <v>16</v>
      </c>
      <c r="B295" t="s">
        <v>3830</v>
      </c>
      <c r="C295" t="s">
        <v>3831</v>
      </c>
      <c r="D295" t="s">
        <v>3867</v>
      </c>
      <c r="E295" t="s">
        <v>3868</v>
      </c>
      <c r="F295" t="s">
        <v>3064</v>
      </c>
      <c r="G295" t="s">
        <v>3869</v>
      </c>
    </row>
    <row r="296" ht="11.25" customHeight="1">
      <c r="A296" s="373" t="s">
        <v>16</v>
      </c>
      <c r="B296" t="s">
        <v>3830</v>
      </c>
      <c r="C296" t="s">
        <v>3831</v>
      </c>
      <c r="D296" t="s">
        <v>3870</v>
      </c>
      <c r="E296" t="s">
        <v>3871</v>
      </c>
      <c r="F296" t="s">
        <v>3064</v>
      </c>
      <c r="G296" t="s">
        <v>3872</v>
      </c>
    </row>
    <row r="297" ht="11.25" customHeight="1">
      <c r="A297" s="373" t="s">
        <v>16</v>
      </c>
      <c r="B297" t="s">
        <v>3830</v>
      </c>
      <c r="C297" t="s">
        <v>3831</v>
      </c>
      <c r="D297" t="s">
        <v>3873</v>
      </c>
      <c r="E297" t="s">
        <v>3874</v>
      </c>
      <c r="F297" t="s">
        <v>3064</v>
      </c>
      <c r="G297" t="s">
        <v>3875</v>
      </c>
    </row>
    <row r="298" ht="11.25" customHeight="1">
      <c r="A298" s="373" t="s">
        <v>16</v>
      </c>
      <c r="B298" t="s">
        <v>3830</v>
      </c>
      <c r="C298" t="s">
        <v>3831</v>
      </c>
      <c r="D298" t="s">
        <v>3830</v>
      </c>
      <c r="E298" t="s">
        <v>3831</v>
      </c>
      <c r="F298" t="s">
        <v>3058</v>
      </c>
      <c r="G298" t="s">
        <v>3876</v>
      </c>
    </row>
    <row r="299" ht="11.25" customHeight="1">
      <c r="A299" s="373" t="s">
        <v>16</v>
      </c>
      <c r="B299" t="s">
        <v>3830</v>
      </c>
      <c r="C299" t="s">
        <v>3831</v>
      </c>
      <c r="D299" t="s">
        <v>3877</v>
      </c>
      <c r="E299" t="s">
        <v>3878</v>
      </c>
      <c r="F299" t="s">
        <v>3218</v>
      </c>
      <c r="G299" t="s">
        <v>3879</v>
      </c>
    </row>
    <row r="300" ht="11.25" customHeight="1">
      <c r="A300" s="373" t="s">
        <v>16</v>
      </c>
      <c r="B300" t="s">
        <v>3830</v>
      </c>
      <c r="C300" t="s">
        <v>3831</v>
      </c>
      <c r="D300" t="s">
        <v>3880</v>
      </c>
      <c r="E300" t="s">
        <v>3881</v>
      </c>
      <c r="F300" t="s">
        <v>3064</v>
      </c>
      <c r="G300" t="s">
        <v>3882</v>
      </c>
    </row>
    <row r="301" ht="11.25" customHeight="1">
      <c r="A301" s="373" t="s">
        <v>16</v>
      </c>
      <c r="B301" t="s">
        <v>3883</v>
      </c>
      <c r="C301" t="s">
        <v>3884</v>
      </c>
      <c r="D301" t="s">
        <v>3883</v>
      </c>
      <c r="E301" t="s">
        <v>3884</v>
      </c>
      <c r="F301" t="s">
        <v>3055</v>
      </c>
      <c r="G301" t="s">
        <v>3885</v>
      </c>
    </row>
    <row r="302" ht="11.25" customHeight="1">
      <c r="A302" s="373" t="s">
        <v>16</v>
      </c>
      <c r="B302" t="s">
        <v>3886</v>
      </c>
      <c r="C302" t="s">
        <v>3887</v>
      </c>
      <c r="D302" t="s">
        <v>3888</v>
      </c>
      <c r="E302" t="s">
        <v>3889</v>
      </c>
      <c r="F302" t="s">
        <v>3064</v>
      </c>
      <c r="G302" t="s">
        <v>3890</v>
      </c>
    </row>
    <row r="303" ht="11.25" customHeight="1">
      <c r="A303" s="373" t="s">
        <v>16</v>
      </c>
      <c r="B303" t="s">
        <v>3886</v>
      </c>
      <c r="C303" t="s">
        <v>3887</v>
      </c>
      <c r="D303" t="s">
        <v>3835</v>
      </c>
      <c r="E303" t="s">
        <v>3891</v>
      </c>
      <c r="F303" t="s">
        <v>3064</v>
      </c>
      <c r="G303" t="s">
        <v>3892</v>
      </c>
    </row>
    <row r="304" ht="11.25" customHeight="1">
      <c r="A304" s="373" t="s">
        <v>16</v>
      </c>
      <c r="B304" t="s">
        <v>3886</v>
      </c>
      <c r="C304" t="s">
        <v>3887</v>
      </c>
      <c r="D304" t="s">
        <v>3893</v>
      </c>
      <c r="E304" t="s">
        <v>3894</v>
      </c>
      <c r="F304" t="s">
        <v>3064</v>
      </c>
      <c r="G304" t="s">
        <v>3895</v>
      </c>
    </row>
    <row r="305" ht="11.25" customHeight="1">
      <c r="A305" s="373" t="s">
        <v>16</v>
      </c>
      <c r="B305" t="s">
        <v>3886</v>
      </c>
      <c r="C305" t="s">
        <v>3887</v>
      </c>
      <c r="D305" t="s">
        <v>3896</v>
      </c>
      <c r="E305" t="s">
        <v>3897</v>
      </c>
      <c r="F305" t="s">
        <v>3064</v>
      </c>
      <c r="G305" t="s">
        <v>3898</v>
      </c>
    </row>
    <row r="306" ht="11.25" customHeight="1">
      <c r="A306" s="373" t="s">
        <v>16</v>
      </c>
      <c r="B306" t="s">
        <v>3886</v>
      </c>
      <c r="C306" t="s">
        <v>3887</v>
      </c>
      <c r="D306" t="s">
        <v>3899</v>
      </c>
      <c r="E306" t="s">
        <v>3900</v>
      </c>
      <c r="F306" t="s">
        <v>3064</v>
      </c>
      <c r="G306" t="s">
        <v>3901</v>
      </c>
    </row>
    <row r="307" ht="11.25" customHeight="1">
      <c r="A307" s="373" t="s">
        <v>16</v>
      </c>
      <c r="B307" t="s">
        <v>3886</v>
      </c>
      <c r="C307" t="s">
        <v>3887</v>
      </c>
      <c r="D307" t="s">
        <v>3902</v>
      </c>
      <c r="E307" t="s">
        <v>3903</v>
      </c>
      <c r="F307" t="s">
        <v>3064</v>
      </c>
      <c r="G307" t="s">
        <v>3904</v>
      </c>
    </row>
    <row r="308" ht="11.25" customHeight="1">
      <c r="A308" s="373" t="s">
        <v>16</v>
      </c>
      <c r="B308" t="s">
        <v>3886</v>
      </c>
      <c r="C308" t="s">
        <v>3887</v>
      </c>
      <c r="D308" t="s">
        <v>3905</v>
      </c>
      <c r="E308" t="s">
        <v>3906</v>
      </c>
      <c r="F308" t="s">
        <v>3064</v>
      </c>
      <c r="G308" t="s">
        <v>3907</v>
      </c>
    </row>
    <row r="309" ht="11.25" customHeight="1">
      <c r="A309" s="373" t="s">
        <v>16</v>
      </c>
      <c r="B309" t="s">
        <v>3886</v>
      </c>
      <c r="C309" t="s">
        <v>3887</v>
      </c>
      <c r="D309" t="s">
        <v>3908</v>
      </c>
      <c r="E309" t="s">
        <v>3909</v>
      </c>
      <c r="F309" t="s">
        <v>3064</v>
      </c>
      <c r="G309" t="s">
        <v>3910</v>
      </c>
    </row>
    <row r="310" ht="11.25" customHeight="1">
      <c r="A310" s="373" t="s">
        <v>16</v>
      </c>
      <c r="B310" t="s">
        <v>3886</v>
      </c>
      <c r="C310" t="s">
        <v>3887</v>
      </c>
      <c r="D310" t="s">
        <v>3911</v>
      </c>
      <c r="E310" t="s">
        <v>3912</v>
      </c>
      <c r="F310" t="s">
        <v>3061</v>
      </c>
      <c r="G310" t="s">
        <v>3913</v>
      </c>
    </row>
    <row r="311" ht="11.25" customHeight="1">
      <c r="A311" s="373" t="s">
        <v>16</v>
      </c>
      <c r="B311" t="s">
        <v>3886</v>
      </c>
      <c r="C311" t="s">
        <v>3887</v>
      </c>
      <c r="D311" t="s">
        <v>3914</v>
      </c>
      <c r="E311" t="s">
        <v>3915</v>
      </c>
      <c r="F311" t="s">
        <v>3064</v>
      </c>
      <c r="G311" t="s">
        <v>3916</v>
      </c>
    </row>
    <row r="312" ht="11.25" customHeight="1">
      <c r="A312" s="373" t="s">
        <v>16</v>
      </c>
      <c r="B312" t="s">
        <v>3886</v>
      </c>
      <c r="C312" t="s">
        <v>3887</v>
      </c>
      <c r="D312" t="s">
        <v>3917</v>
      </c>
      <c r="E312" t="s">
        <v>3918</v>
      </c>
      <c r="F312" t="s">
        <v>3064</v>
      </c>
      <c r="G312" t="s">
        <v>3919</v>
      </c>
    </row>
    <row r="313" ht="11.25" customHeight="1">
      <c r="A313" s="373" t="s">
        <v>16</v>
      </c>
      <c r="B313" t="s">
        <v>3886</v>
      </c>
      <c r="C313" t="s">
        <v>3887</v>
      </c>
      <c r="D313" t="s">
        <v>3920</v>
      </c>
      <c r="E313" t="s">
        <v>3921</v>
      </c>
      <c r="F313" t="s">
        <v>3064</v>
      </c>
      <c r="G313" t="s">
        <v>3922</v>
      </c>
    </row>
    <row r="314" ht="11.25" customHeight="1">
      <c r="A314" s="373" t="s">
        <v>16</v>
      </c>
      <c r="B314" t="s">
        <v>3886</v>
      </c>
      <c r="C314" t="s">
        <v>3887</v>
      </c>
      <c r="D314" t="s">
        <v>3398</v>
      </c>
      <c r="E314" t="s">
        <v>3923</v>
      </c>
      <c r="F314" t="s">
        <v>3064</v>
      </c>
      <c r="G314" t="s">
        <v>3924</v>
      </c>
    </row>
    <row r="315" ht="11.25" customHeight="1">
      <c r="A315" s="373" t="s">
        <v>16</v>
      </c>
      <c r="B315" t="s">
        <v>3886</v>
      </c>
      <c r="C315" t="s">
        <v>3887</v>
      </c>
      <c r="D315" t="s">
        <v>3886</v>
      </c>
      <c r="E315" t="s">
        <v>3887</v>
      </c>
      <c r="F315" t="s">
        <v>3058</v>
      </c>
      <c r="G315" t="s">
        <v>3925</v>
      </c>
    </row>
    <row r="316" ht="11.25" customHeight="1">
      <c r="A316" s="373" t="s">
        <v>16</v>
      </c>
      <c r="B316" t="s">
        <v>3886</v>
      </c>
      <c r="C316" t="s">
        <v>3887</v>
      </c>
      <c r="D316" t="s">
        <v>3926</v>
      </c>
      <c r="E316" t="s">
        <v>3927</v>
      </c>
      <c r="F316" t="s">
        <v>3061</v>
      </c>
      <c r="G316" t="s">
        <v>3928</v>
      </c>
    </row>
  </sheetData>
  <sheetProtection autoFilter="0" deleteColumns="0" deleteRows="0" insertColumns="1" insertRows="0" sort="0"/>
  <pageMargins left="0.69999999999999996" right="0.69999999999999996" top="0.75" bottom="0.75" header="0.29999999999999999" footer="0.29999999999999999"/>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sheetPr>
  <sheetViews>
    <sheetView showGridLines="0" topLeftCell="A1" workbookViewId="0">
      <selection activeCell="A1" sqref="A1"/>
    </sheetView>
  </sheetViews>
  <sheetFormatPr defaultColWidth="9.140625" defaultRowHeight="11.25" customHeight="1"/>
  <cols>
    <col customWidth="1" min="1" max="1" style="1691" width="13.8515625"/>
    <col customWidth="1" min="2" max="2" style="1691" width="10.421875"/>
    <col customWidth="1" min="3" max="3" style="1691" width="7.57421875"/>
    <col customWidth="1" min="4" max="4" style="1691" width="13.8515625"/>
    <col customWidth="1" min="5" max="5" style="1691" width="11.57421875"/>
    <col customWidth="1" min="6" max="6" style="1691" width="16.28125"/>
    <col customWidth="1" min="7" max="7" style="1691" width="16.00390625"/>
    <col customWidth="1" min="8" max="9" style="1691" width="16.140625"/>
  </cols>
  <sheetData>
    <row r="1" ht="11.25" customHeight="1">
      <c r="A1" s="835" t="s">
        <v>3929</v>
      </c>
      <c r="B1" s="835" t="s">
        <v>3930</v>
      </c>
      <c r="C1" s="1159" t="s">
        <v>3931</v>
      </c>
      <c r="D1" s="835" t="s">
        <v>3932</v>
      </c>
      <c r="E1" s="835" t="s">
        <v>3933</v>
      </c>
      <c r="F1" s="1159" t="s">
        <v>3934</v>
      </c>
      <c r="G1" s="1159" t="s">
        <v>3935</v>
      </c>
      <c r="H1" s="1159" t="s">
        <v>3936</v>
      </c>
      <c r="I1" s="1159" t="s">
        <v>3937</v>
      </c>
    </row>
    <row r="2" ht="11.25" customHeight="1">
      <c r="A2" s="1691" t="s">
        <v>109</v>
      </c>
      <c r="B2" s="1691" t="s">
        <v>3938</v>
      </c>
      <c r="C2" s="1691" t="s">
        <v>22</v>
      </c>
      <c r="D2" s="1691" t="s">
        <v>3939</v>
      </c>
      <c r="E2" s="1691" t="s">
        <v>3940</v>
      </c>
      <c r="F2" s="1691" t="s">
        <v>22</v>
      </c>
      <c r="G2" s="1691" t="s">
        <v>22</v>
      </c>
      <c r="H2" s="1691" t="s">
        <v>22</v>
      </c>
      <c r="I2" s="1691" t="s">
        <v>22</v>
      </c>
    </row>
    <row r="3" ht="11.25" customHeight="1">
      <c r="A3" s="1691" t="s">
        <v>110</v>
      </c>
      <c r="B3" s="1691" t="s">
        <v>3941</v>
      </c>
      <c r="C3" s="1691" t="s">
        <v>22</v>
      </c>
      <c r="D3" s="1691" t="s">
        <v>3939</v>
      </c>
      <c r="E3" s="1691" t="s">
        <v>3940</v>
      </c>
      <c r="F3" s="1691" t="s">
        <v>22</v>
      </c>
      <c r="G3" s="1691" t="s">
        <v>22</v>
      </c>
      <c r="H3" s="1691" t="s">
        <v>22</v>
      </c>
      <c r="I3" s="1691" t="s">
        <v>22</v>
      </c>
    </row>
    <row r="4" ht="11.25" customHeight="1">
      <c r="A4" s="1691" t="s">
        <v>89</v>
      </c>
      <c r="B4" s="1691" t="s">
        <v>3942</v>
      </c>
      <c r="C4" s="1691" t="s">
        <v>22</v>
      </c>
      <c r="D4" s="1691" t="s">
        <v>3939</v>
      </c>
      <c r="E4" s="1691" t="s">
        <v>3940</v>
      </c>
      <c r="F4" s="1691" t="s">
        <v>22</v>
      </c>
      <c r="G4" s="1691" t="s">
        <v>22</v>
      </c>
      <c r="H4" s="1691" t="s">
        <v>22</v>
      </c>
      <c r="I4" s="1691" t="s">
        <v>22</v>
      </c>
    </row>
    <row r="5" ht="11.25" customHeight="1">
      <c r="A5" s="1691" t="s">
        <v>90</v>
      </c>
      <c r="B5" s="1691" t="s">
        <v>3943</v>
      </c>
      <c r="C5" s="1691" t="s">
        <v>22</v>
      </c>
      <c r="D5" s="1691" t="s">
        <v>3939</v>
      </c>
      <c r="E5" s="1691" t="s">
        <v>3940</v>
      </c>
      <c r="F5" s="1691" t="s">
        <v>22</v>
      </c>
      <c r="G5" s="1691" t="s">
        <v>22</v>
      </c>
      <c r="H5" s="1691" t="s">
        <v>22</v>
      </c>
      <c r="I5" s="1691" t="s">
        <v>22</v>
      </c>
    </row>
    <row r="6" ht="11.25" customHeight="1">
      <c r="A6" s="1691" t="s">
        <v>111</v>
      </c>
      <c r="B6" s="1691" t="s">
        <v>3944</v>
      </c>
      <c r="C6" s="1691" t="s">
        <v>22</v>
      </c>
      <c r="D6" s="1691" t="s">
        <v>3939</v>
      </c>
      <c r="E6" s="1691" t="s">
        <v>3940</v>
      </c>
      <c r="F6" s="1691" t="s">
        <v>22</v>
      </c>
      <c r="G6" s="1691" t="s">
        <v>22</v>
      </c>
      <c r="H6" s="1691" t="s">
        <v>22</v>
      </c>
      <c r="I6" s="1691" t="s">
        <v>22</v>
      </c>
    </row>
    <row r="7" ht="11.25" customHeight="1">
      <c r="A7" s="1691" t="s">
        <v>91</v>
      </c>
      <c r="B7" s="1691" t="s">
        <v>3945</v>
      </c>
      <c r="C7" s="1691" t="s">
        <v>22</v>
      </c>
      <c r="D7" s="1691" t="s">
        <v>3946</v>
      </c>
      <c r="E7" s="1691" t="s">
        <v>3947</v>
      </c>
      <c r="F7" s="1691" t="s">
        <v>22</v>
      </c>
      <c r="G7" s="1691" t="s">
        <v>22</v>
      </c>
      <c r="H7" s="1691" t="s">
        <v>22</v>
      </c>
      <c r="I7" s="1691" t="s">
        <v>22</v>
      </c>
    </row>
    <row r="8" ht="11.25" customHeight="1">
      <c r="A8" s="1691" t="s">
        <v>92</v>
      </c>
      <c r="B8" s="1691" t="s">
        <v>3948</v>
      </c>
      <c r="C8" s="1691" t="s">
        <v>22</v>
      </c>
      <c r="D8" s="1691" t="s">
        <v>3949</v>
      </c>
      <c r="E8" s="1691" t="s">
        <v>3950</v>
      </c>
      <c r="F8" s="1691" t="s">
        <v>22</v>
      </c>
      <c r="G8" s="1691" t="s">
        <v>22</v>
      </c>
      <c r="H8" s="1691" t="s">
        <v>22</v>
      </c>
      <c r="I8" s="1691" t="s">
        <v>22</v>
      </c>
    </row>
    <row r="9" ht="11.25" customHeight="1">
      <c r="A9" s="1691" t="s">
        <v>112</v>
      </c>
      <c r="B9" s="1691" t="s">
        <v>3951</v>
      </c>
      <c r="C9" s="1691" t="s">
        <v>22</v>
      </c>
      <c r="D9" s="1691" t="s">
        <v>3939</v>
      </c>
      <c r="E9" s="1691" t="s">
        <v>3940</v>
      </c>
      <c r="F9" s="1691" t="s">
        <v>22</v>
      </c>
      <c r="G9" s="1691" t="s">
        <v>22</v>
      </c>
      <c r="H9" s="1691" t="s">
        <v>22</v>
      </c>
      <c r="I9" s="1691" t="s">
        <v>22</v>
      </c>
    </row>
    <row r="10" ht="11.25" customHeight="1">
      <c r="A10" s="1691" t="s">
        <v>152</v>
      </c>
      <c r="B10" s="1691" t="s">
        <v>3952</v>
      </c>
      <c r="C10" s="1691" t="s">
        <v>22</v>
      </c>
      <c r="D10" s="1691" t="s">
        <v>3939</v>
      </c>
      <c r="E10" s="1691" t="s">
        <v>3940</v>
      </c>
      <c r="F10" s="1691" t="s">
        <v>22</v>
      </c>
      <c r="G10" s="1691" t="s">
        <v>22</v>
      </c>
      <c r="H10" s="1691" t="s">
        <v>22</v>
      </c>
      <c r="I10" s="1691" t="s">
        <v>22</v>
      </c>
    </row>
  </sheetData>
  <sheetProtection autoFilter="0" deleteColumns="0" deleteRows="0" insertColumns="1" insertRows="0" sort="0"/>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sheetPr>
  <sheetViews>
    <sheetView topLeftCell="A1" workbookViewId="0">
      <selection activeCell="A1" sqref="A1"/>
    </sheetView>
  </sheetViews>
  <sheetFormatPr defaultRowHeight="11.25" customHeight="1"/>
  <sheetData/>
  <sheetProtection autoFilter="0" deleteColumns="0" deleteRows="0" insertColumns="1" insertRows="0" sort="0"/>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sheetPr>
  <sheetViews>
    <sheetView showGridLines="0" topLeftCell="A1" workbookViewId="0">
      <selection activeCell="A1" sqref="A1"/>
    </sheetView>
  </sheetViews>
  <sheetFormatPr defaultColWidth="9.140625" defaultRowHeight="11.25" customHeight="1"/>
  <cols>
    <col min="1" max="2" style="183" width="9.140625"/>
  </cols>
  <sheetData>
    <row r="1" ht="11.25" customHeight="1">
      <c r="A1" s="183" t="s">
        <v>134</v>
      </c>
      <c r="B1" s="183" t="s">
        <v>3953</v>
      </c>
    </row>
    <row r="2" ht="11.25" customHeight="1">
      <c r="A2" s="64" t="s">
        <v>97</v>
      </c>
      <c r="B2" s="64" t="s">
        <v>3954</v>
      </c>
    </row>
  </sheetData>
  <sheetProtection autoFilter="0" deleteColumns="0" deleteRows="0" insertColumns="1" insertRows="0" sort="0"/>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sheetPr>
  <sheetViews>
    <sheetView showGridLines="0" topLeftCell="A1" workbookViewId="0">
      <selection activeCell="A1" sqref="A1"/>
    </sheetView>
  </sheetViews>
  <sheetFormatPr defaultColWidth="9.140625" defaultRowHeight="11.25" customHeight="1"/>
  <cols>
    <col min="1" max="1" style="1691" width="9.140625"/>
    <col customWidth="1" min="2" max="2" style="1691" width="65.28125"/>
  </cols>
  <sheetData>
    <row r="1" ht="11.25" customHeight="1">
      <c r="A1" s="835" t="s">
        <v>3955</v>
      </c>
      <c r="B1" s="835" t="s">
        <v>3956</v>
      </c>
    </row>
    <row r="2" ht="11.25" customHeight="1">
      <c r="A2" s="835">
        <v>4213775</v>
      </c>
      <c r="B2" s="835" t="s">
        <v>1222</v>
      </c>
    </row>
    <row r="3" ht="11.25" customHeight="1">
      <c r="A3" s="835">
        <v>4213784</v>
      </c>
      <c r="B3" s="835" t="s">
        <v>1257</v>
      </c>
    </row>
    <row r="4" ht="11.25" customHeight="1">
      <c r="A4" s="835">
        <v>4213781</v>
      </c>
      <c r="B4" s="835" t="s">
        <v>1250</v>
      </c>
    </row>
    <row r="5" ht="11.25" customHeight="1">
      <c r="A5" s="835">
        <v>4213776</v>
      </c>
      <c r="B5" s="835" t="s">
        <v>170</v>
      </c>
    </row>
    <row r="6" ht="11.25" customHeight="1">
      <c r="A6" s="835">
        <v>4213777</v>
      </c>
      <c r="B6" s="835" t="s">
        <v>176</v>
      </c>
    </row>
    <row r="7" ht="11.25" customHeight="1">
      <c r="A7" s="835">
        <v>4213778</v>
      </c>
      <c r="B7" s="835" t="s">
        <v>182</v>
      </c>
    </row>
    <row r="8" ht="11.25" customHeight="1">
      <c r="A8" s="835">
        <v>4213780</v>
      </c>
      <c r="B8" s="835" t="s">
        <v>188</v>
      </c>
    </row>
    <row r="9" ht="11.25" customHeight="1">
      <c r="A9" s="835">
        <v>4213779</v>
      </c>
      <c r="B9" s="835" t="s">
        <v>1390</v>
      </c>
    </row>
    <row r="10" ht="11.25" customHeight="1">
      <c r="A10" s="835">
        <v>4213783</v>
      </c>
      <c r="B10" s="835" t="s">
        <v>1405</v>
      </c>
    </row>
    <row r="11" ht="11.25" customHeight="1">
      <c r="A11" s="835">
        <v>4213782</v>
      </c>
      <c r="B11" s="835" t="s">
        <v>194</v>
      </c>
    </row>
  </sheetData>
  <sheetProtection autoFilter="0" deleteColumns="0" deleteRows="0" insertColumns="1" insertRows="0" sort="0"/>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sheetPr>
  <sheetViews>
    <sheetView showGridLines="0" topLeftCell="A1" workbookViewId="0">
      <selection activeCell="A1" sqref="A1"/>
    </sheetView>
  </sheetViews>
  <sheetFormatPr defaultColWidth="9.140625" defaultRowHeight="11.25" customHeight="1"/>
  <cols>
    <col min="1" max="1" style="1691" width="9.140625"/>
    <col customWidth="1" min="2" max="2" style="1691" width="65.28125"/>
  </cols>
  <sheetData>
    <row r="1" ht="11.25" customHeight="1">
      <c r="A1" s="835" t="s">
        <v>3955</v>
      </c>
      <c r="B1" s="835" t="s">
        <v>3957</v>
      </c>
    </row>
    <row r="2" ht="11.25" customHeight="1">
      <c r="A2" s="835" t="s">
        <v>118</v>
      </c>
      <c r="B2" s="835" t="s">
        <v>1506</v>
      </c>
    </row>
    <row r="3" ht="11.25" customHeight="1">
      <c r="A3" s="835" t="s">
        <v>124</v>
      </c>
      <c r="B3" s="835" t="s">
        <v>1515</v>
      </c>
    </row>
    <row r="4" ht="11.25" customHeight="1">
      <c r="A4" s="835" t="s">
        <v>3958</v>
      </c>
      <c r="B4" s="835" t="s">
        <v>1525</v>
      </c>
    </row>
  </sheetData>
  <sheetProtection autoFilter="0" deleteColumns="0" deleteRows="0" insertColumns="1" insertRows="0" sort="0"/>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sheetPr>
  <sheetViews>
    <sheetView showGridLines="0" topLeftCell="A1" workbookViewId="0">
      <selection activeCell="A1" sqref="A1"/>
    </sheetView>
  </sheetViews>
  <sheetFormatPr defaultRowHeight="11.25" customHeight="1"/>
  <sheetData>
    <row r="1" ht="11.25" customHeight="1">
      <c r="A1" s="373" t="s">
        <v>3046</v>
      </c>
      <c r="B1" s="373" t="s">
        <v>3047</v>
      </c>
      <c r="C1" s="373" t="s">
        <v>3048</v>
      </c>
      <c r="D1" s="373" t="s">
        <v>3049</v>
      </c>
      <c r="E1" t="s">
        <v>3050</v>
      </c>
      <c r="F1" t="s">
        <v>3051</v>
      </c>
      <c r="G1" t="s">
        <v>3052</v>
      </c>
    </row>
    <row r="2" ht="11.25" customHeight="1">
      <c r="A2" t="s">
        <v>16</v>
      </c>
      <c r="B2" t="s">
        <v>3053</v>
      </c>
      <c r="C2" t="s">
        <v>3054</v>
      </c>
      <c r="D2" t="s">
        <v>3053</v>
      </c>
      <c r="E2" t="s">
        <v>3054</v>
      </c>
      <c r="F2" t="s">
        <v>3055</v>
      </c>
      <c r="G2" t="s">
        <v>109</v>
      </c>
    </row>
    <row r="3" ht="11.25" customHeight="1">
      <c r="A3" t="s">
        <v>16</v>
      </c>
      <c r="B3" t="s">
        <v>3056</v>
      </c>
      <c r="C3" t="s">
        <v>3057</v>
      </c>
      <c r="D3" t="s">
        <v>3056</v>
      </c>
      <c r="E3" t="s">
        <v>3057</v>
      </c>
      <c r="F3" t="s">
        <v>3058</v>
      </c>
      <c r="G3" t="s">
        <v>110</v>
      </c>
    </row>
    <row r="4" ht="11.25" customHeight="1">
      <c r="A4" t="s">
        <v>16</v>
      </c>
      <c r="B4" t="s">
        <v>3056</v>
      </c>
      <c r="C4" t="s">
        <v>3057</v>
      </c>
      <c r="D4" t="s">
        <v>3059</v>
      </c>
      <c r="E4" t="s">
        <v>3060</v>
      </c>
      <c r="F4" t="s">
        <v>3061</v>
      </c>
      <c r="G4" t="s">
        <v>89</v>
      </c>
    </row>
    <row r="5" ht="11.25" customHeight="1">
      <c r="A5" t="s">
        <v>16</v>
      </c>
      <c r="B5" t="s">
        <v>3056</v>
      </c>
      <c r="C5" t="s">
        <v>3057</v>
      </c>
      <c r="D5" t="s">
        <v>3062</v>
      </c>
      <c r="E5" t="s">
        <v>3063</v>
      </c>
      <c r="F5" t="s">
        <v>3064</v>
      </c>
      <c r="G5" t="s">
        <v>90</v>
      </c>
    </row>
    <row r="6" ht="11.25" customHeight="1">
      <c r="A6" t="s">
        <v>16</v>
      </c>
      <c r="B6" t="s">
        <v>3056</v>
      </c>
      <c r="C6" t="s">
        <v>3057</v>
      </c>
      <c r="D6" t="s">
        <v>3065</v>
      </c>
      <c r="E6" t="s">
        <v>3066</v>
      </c>
      <c r="F6" t="s">
        <v>3064</v>
      </c>
      <c r="G6" t="s">
        <v>111</v>
      </c>
    </row>
    <row r="7" ht="11.25" customHeight="1">
      <c r="A7" t="s">
        <v>16</v>
      </c>
      <c r="B7" t="s">
        <v>3056</v>
      </c>
      <c r="C7" t="s">
        <v>3057</v>
      </c>
      <c r="D7" t="s">
        <v>3067</v>
      </c>
      <c r="E7" t="s">
        <v>3068</v>
      </c>
      <c r="F7" t="s">
        <v>3064</v>
      </c>
      <c r="G7" t="s">
        <v>91</v>
      </c>
    </row>
    <row r="8" ht="11.25" customHeight="1">
      <c r="A8" t="s">
        <v>16</v>
      </c>
      <c r="B8" t="s">
        <v>3056</v>
      </c>
      <c r="C8" t="s">
        <v>3057</v>
      </c>
      <c r="D8" t="s">
        <v>3069</v>
      </c>
      <c r="E8" t="s">
        <v>3070</v>
      </c>
      <c r="F8" t="s">
        <v>3064</v>
      </c>
      <c r="G8" t="s">
        <v>92</v>
      </c>
    </row>
    <row r="9" ht="11.25" customHeight="1">
      <c r="A9" t="s">
        <v>16</v>
      </c>
      <c r="B9" t="s">
        <v>3056</v>
      </c>
      <c r="C9" t="s">
        <v>3057</v>
      </c>
      <c r="D9" t="s">
        <v>3071</v>
      </c>
      <c r="E9" t="s">
        <v>3072</v>
      </c>
      <c r="F9" t="s">
        <v>3064</v>
      </c>
      <c r="G9" t="s">
        <v>112</v>
      </c>
    </row>
    <row r="10" ht="11.25" customHeight="1">
      <c r="A10" t="s">
        <v>16</v>
      </c>
      <c r="B10" t="s">
        <v>3073</v>
      </c>
      <c r="C10" t="s">
        <v>3074</v>
      </c>
      <c r="D10" t="s">
        <v>3073</v>
      </c>
      <c r="E10" t="s">
        <v>3074</v>
      </c>
      <c r="F10" t="s">
        <v>3075</v>
      </c>
      <c r="G10" t="s">
        <v>152</v>
      </c>
    </row>
    <row r="11" ht="11.25" customHeight="1">
      <c r="A11" t="s">
        <v>16</v>
      </c>
      <c r="B11" t="s">
        <v>3076</v>
      </c>
      <c r="C11" t="s">
        <v>3077</v>
      </c>
      <c r="D11" t="s">
        <v>3076</v>
      </c>
      <c r="E11" t="s">
        <v>3077</v>
      </c>
      <c r="F11" t="s">
        <v>3075</v>
      </c>
      <c r="G11" t="s">
        <v>153</v>
      </c>
    </row>
    <row r="12" ht="11.25" customHeight="1">
      <c r="A12" t="s">
        <v>16</v>
      </c>
      <c r="B12" t="s">
        <v>3078</v>
      </c>
      <c r="C12" t="s">
        <v>3079</v>
      </c>
      <c r="D12" t="s">
        <v>3078</v>
      </c>
      <c r="E12" t="s">
        <v>3079</v>
      </c>
      <c r="F12" t="s">
        <v>3075</v>
      </c>
      <c r="G12" t="s">
        <v>154</v>
      </c>
    </row>
    <row r="13" ht="11.25" customHeight="1">
      <c r="A13" t="s">
        <v>16</v>
      </c>
      <c r="B13" t="s">
        <v>3080</v>
      </c>
      <c r="C13" t="s">
        <v>3081</v>
      </c>
      <c r="D13" t="s">
        <v>3080</v>
      </c>
      <c r="E13" t="s">
        <v>3081</v>
      </c>
      <c r="F13" t="s">
        <v>3075</v>
      </c>
      <c r="G13" t="s">
        <v>155</v>
      </c>
    </row>
    <row r="14" ht="11.25" customHeight="1">
      <c r="A14" t="s">
        <v>16</v>
      </c>
      <c r="B14" t="s">
        <v>3082</v>
      </c>
      <c r="C14" t="s">
        <v>3083</v>
      </c>
      <c r="D14" t="s">
        <v>3082</v>
      </c>
      <c r="E14" t="s">
        <v>3083</v>
      </c>
      <c r="F14" t="s">
        <v>3055</v>
      </c>
      <c r="G14" t="s">
        <v>156</v>
      </c>
    </row>
    <row r="15" ht="11.25" customHeight="1">
      <c r="A15" t="s">
        <v>16</v>
      </c>
      <c r="B15" t="s">
        <v>3084</v>
      </c>
      <c r="C15" t="s">
        <v>3085</v>
      </c>
      <c r="D15" t="s">
        <v>3086</v>
      </c>
      <c r="E15" t="s">
        <v>3087</v>
      </c>
      <c r="F15" t="s">
        <v>3064</v>
      </c>
      <c r="G15" t="s">
        <v>157</v>
      </c>
    </row>
    <row r="16" ht="11.25" customHeight="1">
      <c r="A16" t="s">
        <v>16</v>
      </c>
      <c r="B16" t="s">
        <v>3084</v>
      </c>
      <c r="C16" t="s">
        <v>3085</v>
      </c>
      <c r="D16" t="s">
        <v>3084</v>
      </c>
      <c r="E16" t="s">
        <v>3085</v>
      </c>
      <c r="F16" t="s">
        <v>3058</v>
      </c>
      <c r="G16" t="s">
        <v>1465</v>
      </c>
    </row>
    <row r="17" ht="11.25" customHeight="1">
      <c r="A17" t="s">
        <v>16</v>
      </c>
      <c r="B17" t="s">
        <v>3084</v>
      </c>
      <c r="C17" t="s">
        <v>3085</v>
      </c>
      <c r="D17" t="s">
        <v>3088</v>
      </c>
      <c r="E17" t="s">
        <v>3089</v>
      </c>
      <c r="F17" t="s">
        <v>3061</v>
      </c>
      <c r="G17" t="s">
        <v>1471</v>
      </c>
    </row>
    <row r="18" ht="11.25" customHeight="1">
      <c r="A18" t="s">
        <v>16</v>
      </c>
      <c r="B18" t="s">
        <v>3084</v>
      </c>
      <c r="C18" t="s">
        <v>3085</v>
      </c>
      <c r="D18" t="s">
        <v>3090</v>
      </c>
      <c r="E18" t="s">
        <v>3091</v>
      </c>
      <c r="F18" t="s">
        <v>3064</v>
      </c>
      <c r="G18" t="s">
        <v>1483</v>
      </c>
    </row>
    <row r="19" ht="11.25" customHeight="1">
      <c r="A19" t="s">
        <v>16</v>
      </c>
      <c r="B19" t="s">
        <v>3084</v>
      </c>
      <c r="C19" t="s">
        <v>3085</v>
      </c>
      <c r="D19" t="s">
        <v>3092</v>
      </c>
      <c r="E19" t="s">
        <v>3093</v>
      </c>
      <c r="F19" t="s">
        <v>3064</v>
      </c>
      <c r="G19" t="s">
        <v>1497</v>
      </c>
    </row>
    <row r="20" ht="11.25" customHeight="1">
      <c r="A20" t="s">
        <v>16</v>
      </c>
      <c r="B20" t="s">
        <v>3084</v>
      </c>
      <c r="C20" t="s">
        <v>3085</v>
      </c>
      <c r="D20" t="s">
        <v>3094</v>
      </c>
      <c r="E20" t="s">
        <v>3095</v>
      </c>
      <c r="F20" t="s">
        <v>3064</v>
      </c>
      <c r="G20" t="s">
        <v>1509</v>
      </c>
    </row>
    <row r="21" ht="11.25" customHeight="1">
      <c r="A21" t="s">
        <v>16</v>
      </c>
      <c r="B21" t="s">
        <v>3084</v>
      </c>
      <c r="C21" t="s">
        <v>3085</v>
      </c>
      <c r="D21" t="s">
        <v>3096</v>
      </c>
      <c r="E21" t="s">
        <v>3097</v>
      </c>
      <c r="F21" t="s">
        <v>3064</v>
      </c>
      <c r="G21" t="s">
        <v>1518</v>
      </c>
    </row>
    <row r="22" ht="11.25" customHeight="1">
      <c r="A22" t="s">
        <v>16</v>
      </c>
      <c r="B22" t="s">
        <v>3098</v>
      </c>
      <c r="C22" t="s">
        <v>3099</v>
      </c>
      <c r="D22" t="s">
        <v>3098</v>
      </c>
      <c r="E22" t="s">
        <v>3099</v>
      </c>
      <c r="F22" t="s">
        <v>3055</v>
      </c>
      <c r="G22" t="s">
        <v>1534</v>
      </c>
    </row>
    <row r="23" ht="11.25" customHeight="1">
      <c r="A23" t="s">
        <v>16</v>
      </c>
      <c r="B23" t="s">
        <v>3100</v>
      </c>
      <c r="C23" t="s">
        <v>3101</v>
      </c>
      <c r="D23" t="s">
        <v>3102</v>
      </c>
      <c r="E23" t="s">
        <v>3103</v>
      </c>
      <c r="F23" t="s">
        <v>3064</v>
      </c>
      <c r="G23" t="s">
        <v>1541</v>
      </c>
    </row>
    <row r="24" ht="11.25" customHeight="1">
      <c r="A24" t="s">
        <v>16</v>
      </c>
      <c r="B24" t="s">
        <v>3100</v>
      </c>
      <c r="C24" t="s">
        <v>3101</v>
      </c>
      <c r="D24" t="s">
        <v>3104</v>
      </c>
      <c r="E24" t="s">
        <v>3105</v>
      </c>
      <c r="F24" t="s">
        <v>3064</v>
      </c>
      <c r="G24" t="s">
        <v>1549</v>
      </c>
    </row>
    <row r="25" ht="11.25" customHeight="1">
      <c r="A25" t="s">
        <v>16</v>
      </c>
      <c r="B25" t="s">
        <v>3100</v>
      </c>
      <c r="C25" t="s">
        <v>3101</v>
      </c>
      <c r="D25" t="s">
        <v>3106</v>
      </c>
      <c r="E25" t="s">
        <v>3107</v>
      </c>
      <c r="F25" t="s">
        <v>3064</v>
      </c>
      <c r="G25" t="s">
        <v>1556</v>
      </c>
    </row>
    <row r="26" ht="11.25" customHeight="1">
      <c r="A26" t="s">
        <v>16</v>
      </c>
      <c r="B26" t="s">
        <v>3100</v>
      </c>
      <c r="C26" t="s">
        <v>3101</v>
      </c>
      <c r="D26" t="s">
        <v>3108</v>
      </c>
      <c r="E26" t="s">
        <v>3109</v>
      </c>
      <c r="F26" t="s">
        <v>3064</v>
      </c>
      <c r="G26" t="s">
        <v>1560</v>
      </c>
    </row>
    <row r="27" ht="11.25" customHeight="1">
      <c r="A27" t="s">
        <v>16</v>
      </c>
      <c r="B27" t="s">
        <v>3100</v>
      </c>
      <c r="C27" t="s">
        <v>3101</v>
      </c>
      <c r="D27" t="s">
        <v>3100</v>
      </c>
      <c r="E27" t="s">
        <v>3101</v>
      </c>
      <c r="F27" t="s">
        <v>3058</v>
      </c>
      <c r="G27" t="s">
        <v>1565</v>
      </c>
    </row>
    <row r="28" ht="11.25" customHeight="1">
      <c r="A28" t="s">
        <v>16</v>
      </c>
      <c r="B28" t="s">
        <v>3100</v>
      </c>
      <c r="C28" t="s">
        <v>3101</v>
      </c>
      <c r="D28" t="s">
        <v>3110</v>
      </c>
      <c r="E28" t="s">
        <v>3111</v>
      </c>
      <c r="F28" t="s">
        <v>3064</v>
      </c>
      <c r="G28" t="s">
        <v>1573</v>
      </c>
    </row>
    <row r="29" ht="11.25" customHeight="1">
      <c r="A29" t="s">
        <v>16</v>
      </c>
      <c r="B29" t="s">
        <v>3100</v>
      </c>
      <c r="C29" t="s">
        <v>3101</v>
      </c>
      <c r="D29" t="s">
        <v>3112</v>
      </c>
      <c r="E29" t="s">
        <v>3113</v>
      </c>
      <c r="F29" t="s">
        <v>3064</v>
      </c>
      <c r="G29" t="s">
        <v>1575</v>
      </c>
    </row>
    <row r="30" ht="11.25" customHeight="1">
      <c r="A30" t="s">
        <v>16</v>
      </c>
      <c r="B30" t="s">
        <v>3100</v>
      </c>
      <c r="C30" t="s">
        <v>3101</v>
      </c>
      <c r="D30" t="s">
        <v>3114</v>
      </c>
      <c r="E30" t="s">
        <v>3115</v>
      </c>
      <c r="F30" t="s">
        <v>3064</v>
      </c>
      <c r="G30" t="s">
        <v>1578</v>
      </c>
    </row>
    <row r="31" ht="11.25" customHeight="1">
      <c r="A31" t="s">
        <v>16</v>
      </c>
      <c r="B31" t="s">
        <v>3116</v>
      </c>
      <c r="C31" t="s">
        <v>3117</v>
      </c>
      <c r="D31" t="s">
        <v>3116</v>
      </c>
      <c r="E31" t="s">
        <v>3117</v>
      </c>
      <c r="F31" t="s">
        <v>3055</v>
      </c>
      <c r="G31" t="s">
        <v>1584</v>
      </c>
    </row>
    <row r="32" ht="11.25" customHeight="1">
      <c r="A32" t="s">
        <v>16</v>
      </c>
      <c r="B32" t="s">
        <v>3118</v>
      </c>
      <c r="C32" t="s">
        <v>3119</v>
      </c>
      <c r="D32" t="s">
        <v>3120</v>
      </c>
      <c r="E32" t="s">
        <v>3121</v>
      </c>
      <c r="F32" t="s">
        <v>3064</v>
      </c>
      <c r="G32" t="s">
        <v>1586</v>
      </c>
    </row>
    <row r="33" ht="11.25" customHeight="1">
      <c r="A33" t="s">
        <v>16</v>
      </c>
      <c r="B33" t="s">
        <v>3118</v>
      </c>
      <c r="C33" t="s">
        <v>3119</v>
      </c>
      <c r="D33" t="s">
        <v>3122</v>
      </c>
      <c r="E33" t="s">
        <v>3123</v>
      </c>
      <c r="F33" t="s">
        <v>3064</v>
      </c>
      <c r="G33" t="s">
        <v>1588</v>
      </c>
    </row>
    <row r="34" ht="11.25" customHeight="1">
      <c r="A34" t="s">
        <v>16</v>
      </c>
      <c r="B34" t="s">
        <v>3118</v>
      </c>
      <c r="C34" t="s">
        <v>3119</v>
      </c>
      <c r="D34" t="s">
        <v>3118</v>
      </c>
      <c r="E34" t="s">
        <v>3119</v>
      </c>
      <c r="F34" t="s">
        <v>3058</v>
      </c>
      <c r="G34" t="s">
        <v>1590</v>
      </c>
    </row>
    <row r="35" ht="11.25" customHeight="1">
      <c r="A35" t="s">
        <v>16</v>
      </c>
      <c r="B35" t="s">
        <v>3118</v>
      </c>
      <c r="C35" t="s">
        <v>3119</v>
      </c>
      <c r="D35" t="s">
        <v>3124</v>
      </c>
      <c r="E35" t="s">
        <v>3125</v>
      </c>
      <c r="F35" t="s">
        <v>3061</v>
      </c>
      <c r="G35" t="s">
        <v>1595</v>
      </c>
    </row>
    <row r="36" ht="11.25" customHeight="1">
      <c r="A36" t="s">
        <v>16</v>
      </c>
      <c r="B36" t="s">
        <v>3118</v>
      </c>
      <c r="C36" t="s">
        <v>3119</v>
      </c>
      <c r="D36" t="s">
        <v>3126</v>
      </c>
      <c r="E36" t="s">
        <v>3127</v>
      </c>
      <c r="F36" t="s">
        <v>3064</v>
      </c>
      <c r="G36" t="s">
        <v>1600</v>
      </c>
    </row>
    <row r="37" ht="11.25" customHeight="1">
      <c r="A37" t="s">
        <v>16</v>
      </c>
      <c r="B37" t="s">
        <v>3118</v>
      </c>
      <c r="C37" t="s">
        <v>3119</v>
      </c>
      <c r="D37" t="s">
        <v>3128</v>
      </c>
      <c r="E37" t="s">
        <v>3129</v>
      </c>
      <c r="F37" t="s">
        <v>3064</v>
      </c>
      <c r="G37" t="s">
        <v>1604</v>
      </c>
    </row>
    <row r="38" ht="11.25" customHeight="1">
      <c r="A38" t="s">
        <v>16</v>
      </c>
      <c r="B38" t="s">
        <v>3130</v>
      </c>
      <c r="C38" t="s">
        <v>3131</v>
      </c>
      <c r="D38" t="s">
        <v>3130</v>
      </c>
      <c r="E38" t="s">
        <v>3131</v>
      </c>
      <c r="F38" t="s">
        <v>3055</v>
      </c>
      <c r="G38" t="s">
        <v>1612</v>
      </c>
    </row>
    <row r="39" ht="11.25" customHeight="1">
      <c r="A39" t="s">
        <v>16</v>
      </c>
      <c r="B39" t="s">
        <v>3132</v>
      </c>
      <c r="C39" t="s">
        <v>3133</v>
      </c>
      <c r="D39" t="s">
        <v>3134</v>
      </c>
      <c r="E39" t="s">
        <v>3135</v>
      </c>
      <c r="F39" t="s">
        <v>3064</v>
      </c>
      <c r="G39" t="s">
        <v>1618</v>
      </c>
    </row>
    <row r="40" ht="11.25" customHeight="1">
      <c r="A40" t="s">
        <v>16</v>
      </c>
      <c r="B40" t="s">
        <v>3132</v>
      </c>
      <c r="C40" t="s">
        <v>3133</v>
      </c>
      <c r="D40" t="s">
        <v>3136</v>
      </c>
      <c r="E40" t="s">
        <v>3137</v>
      </c>
      <c r="F40" t="s">
        <v>3064</v>
      </c>
      <c r="G40" t="s">
        <v>1623</v>
      </c>
    </row>
    <row r="41" ht="11.25" customHeight="1">
      <c r="A41" t="s">
        <v>16</v>
      </c>
      <c r="B41" t="s">
        <v>3132</v>
      </c>
      <c r="C41" t="s">
        <v>3133</v>
      </c>
      <c r="D41" t="s">
        <v>3138</v>
      </c>
      <c r="E41" t="s">
        <v>3139</v>
      </c>
      <c r="F41" t="s">
        <v>3064</v>
      </c>
      <c r="G41" t="s">
        <v>1627</v>
      </c>
    </row>
    <row r="42" ht="11.25" customHeight="1">
      <c r="A42" t="s">
        <v>16</v>
      </c>
      <c r="B42" t="s">
        <v>3132</v>
      </c>
      <c r="C42" t="s">
        <v>3133</v>
      </c>
      <c r="D42" t="s">
        <v>3140</v>
      </c>
      <c r="E42" t="s">
        <v>3141</v>
      </c>
      <c r="F42" t="s">
        <v>3064</v>
      </c>
      <c r="G42" t="s">
        <v>1630</v>
      </c>
    </row>
    <row r="43" ht="11.25" customHeight="1">
      <c r="A43" t="s">
        <v>16</v>
      </c>
      <c r="B43" t="s">
        <v>3132</v>
      </c>
      <c r="C43" t="s">
        <v>3133</v>
      </c>
      <c r="D43" t="s">
        <v>3142</v>
      </c>
      <c r="E43" t="s">
        <v>3143</v>
      </c>
      <c r="F43" t="s">
        <v>3061</v>
      </c>
      <c r="G43" t="s">
        <v>1637</v>
      </c>
    </row>
    <row r="44" ht="11.25" customHeight="1">
      <c r="A44" t="s">
        <v>16</v>
      </c>
      <c r="B44" t="s">
        <v>3132</v>
      </c>
      <c r="C44" t="s">
        <v>3133</v>
      </c>
      <c r="D44" t="s">
        <v>3144</v>
      </c>
      <c r="E44" t="s">
        <v>3145</v>
      </c>
      <c r="F44" t="s">
        <v>3064</v>
      </c>
      <c r="G44" t="s">
        <v>1646</v>
      </c>
    </row>
    <row r="45" ht="11.25" customHeight="1">
      <c r="A45" t="s">
        <v>16</v>
      </c>
      <c r="B45" t="s">
        <v>3132</v>
      </c>
      <c r="C45" t="s">
        <v>3133</v>
      </c>
      <c r="D45" t="s">
        <v>3146</v>
      </c>
      <c r="E45" t="s">
        <v>3147</v>
      </c>
      <c r="F45" t="s">
        <v>3061</v>
      </c>
      <c r="G45" t="s">
        <v>1651</v>
      </c>
    </row>
    <row r="46" ht="11.25" customHeight="1">
      <c r="A46" t="s">
        <v>16</v>
      </c>
      <c r="B46" t="s">
        <v>3132</v>
      </c>
      <c r="C46" t="s">
        <v>3133</v>
      </c>
      <c r="D46" t="s">
        <v>3148</v>
      </c>
      <c r="E46" t="s">
        <v>3149</v>
      </c>
      <c r="F46" t="s">
        <v>3064</v>
      </c>
      <c r="G46" t="s">
        <v>1654</v>
      </c>
    </row>
    <row r="47" ht="11.25" customHeight="1">
      <c r="A47" t="s">
        <v>16</v>
      </c>
      <c r="B47" t="s">
        <v>3132</v>
      </c>
      <c r="C47" t="s">
        <v>3133</v>
      </c>
      <c r="D47" t="s">
        <v>3150</v>
      </c>
      <c r="E47" t="s">
        <v>3151</v>
      </c>
      <c r="F47" t="s">
        <v>3064</v>
      </c>
      <c r="G47" t="s">
        <v>1660</v>
      </c>
    </row>
    <row r="48" ht="11.25" customHeight="1">
      <c r="A48" t="s">
        <v>16</v>
      </c>
      <c r="B48" t="s">
        <v>3132</v>
      </c>
      <c r="C48" t="s">
        <v>3133</v>
      </c>
      <c r="D48" t="s">
        <v>3132</v>
      </c>
      <c r="E48" t="s">
        <v>3133</v>
      </c>
      <c r="F48" t="s">
        <v>3058</v>
      </c>
      <c r="G48" t="s">
        <v>1665</v>
      </c>
    </row>
    <row r="49" ht="11.25" customHeight="1">
      <c r="A49" t="s">
        <v>16</v>
      </c>
      <c r="B49" t="s">
        <v>3132</v>
      </c>
      <c r="C49" t="s">
        <v>3133</v>
      </c>
      <c r="D49" t="s">
        <v>3152</v>
      </c>
      <c r="E49" t="s">
        <v>3153</v>
      </c>
      <c r="F49" t="s">
        <v>3064</v>
      </c>
      <c r="G49" t="s">
        <v>1668</v>
      </c>
    </row>
    <row r="50" ht="11.25" customHeight="1">
      <c r="A50" t="s">
        <v>16</v>
      </c>
      <c r="B50" t="s">
        <v>3132</v>
      </c>
      <c r="C50" t="s">
        <v>3133</v>
      </c>
      <c r="D50" t="s">
        <v>3154</v>
      </c>
      <c r="E50" t="s">
        <v>3155</v>
      </c>
      <c r="F50" t="s">
        <v>3064</v>
      </c>
      <c r="G50" t="s">
        <v>1672</v>
      </c>
    </row>
    <row r="51" ht="11.25" customHeight="1">
      <c r="A51" t="s">
        <v>16</v>
      </c>
      <c r="B51" t="s">
        <v>3132</v>
      </c>
      <c r="C51" t="s">
        <v>3133</v>
      </c>
      <c r="D51" t="s">
        <v>3156</v>
      </c>
      <c r="E51" t="s">
        <v>3157</v>
      </c>
      <c r="F51" t="s">
        <v>3064</v>
      </c>
      <c r="G51" t="s">
        <v>1677</v>
      </c>
    </row>
    <row r="52" ht="11.25" customHeight="1">
      <c r="A52" t="s">
        <v>16</v>
      </c>
      <c r="B52" t="s">
        <v>3132</v>
      </c>
      <c r="C52" t="s">
        <v>3133</v>
      </c>
      <c r="D52" t="s">
        <v>3158</v>
      </c>
      <c r="E52" t="s">
        <v>3159</v>
      </c>
      <c r="F52" t="s">
        <v>3064</v>
      </c>
      <c r="G52" t="s">
        <v>1681</v>
      </c>
    </row>
    <row r="53" ht="11.25" customHeight="1">
      <c r="A53" t="s">
        <v>16</v>
      </c>
      <c r="B53" t="s">
        <v>3132</v>
      </c>
      <c r="C53" t="s">
        <v>3133</v>
      </c>
      <c r="D53" t="s">
        <v>3160</v>
      </c>
      <c r="E53" t="s">
        <v>3161</v>
      </c>
      <c r="F53" t="s">
        <v>3064</v>
      </c>
      <c r="G53" t="s">
        <v>1683</v>
      </c>
    </row>
    <row r="54" ht="11.25" customHeight="1">
      <c r="A54" t="s">
        <v>16</v>
      </c>
      <c r="B54" t="s">
        <v>3132</v>
      </c>
      <c r="C54" t="s">
        <v>3133</v>
      </c>
      <c r="D54" t="s">
        <v>3162</v>
      </c>
      <c r="E54" t="s">
        <v>3163</v>
      </c>
      <c r="F54" t="s">
        <v>3064</v>
      </c>
      <c r="G54" t="s">
        <v>1686</v>
      </c>
    </row>
    <row r="55" ht="11.25" customHeight="1">
      <c r="A55" t="s">
        <v>16</v>
      </c>
      <c r="B55" t="s">
        <v>3132</v>
      </c>
      <c r="C55" t="s">
        <v>3133</v>
      </c>
      <c r="D55" t="s">
        <v>3164</v>
      </c>
      <c r="E55" t="s">
        <v>3165</v>
      </c>
      <c r="F55" t="s">
        <v>3064</v>
      </c>
      <c r="G55" t="s">
        <v>1690</v>
      </c>
    </row>
    <row r="56" ht="11.25" customHeight="1">
      <c r="A56" t="s">
        <v>16</v>
      </c>
      <c r="B56" t="s">
        <v>3132</v>
      </c>
      <c r="C56" t="s">
        <v>3133</v>
      </c>
      <c r="D56" t="s">
        <v>3166</v>
      </c>
      <c r="E56" t="s">
        <v>3167</v>
      </c>
      <c r="F56" t="s">
        <v>3064</v>
      </c>
      <c r="G56" t="s">
        <v>1693</v>
      </c>
    </row>
    <row r="57" ht="11.25" customHeight="1">
      <c r="A57" t="s">
        <v>16</v>
      </c>
      <c r="B57" t="s">
        <v>3132</v>
      </c>
      <c r="C57" t="s">
        <v>3133</v>
      </c>
      <c r="D57" t="s">
        <v>3168</v>
      </c>
      <c r="E57" t="s">
        <v>3169</v>
      </c>
      <c r="F57" t="s">
        <v>3064</v>
      </c>
      <c r="G57" t="s">
        <v>1696</v>
      </c>
    </row>
    <row r="58" ht="11.25" customHeight="1">
      <c r="A58" t="s">
        <v>16</v>
      </c>
      <c r="B58" t="s">
        <v>3132</v>
      </c>
      <c r="C58" t="s">
        <v>3133</v>
      </c>
      <c r="D58" t="s">
        <v>3170</v>
      </c>
      <c r="E58" t="s">
        <v>3171</v>
      </c>
      <c r="F58" t="s">
        <v>3064</v>
      </c>
      <c r="G58" t="s">
        <v>1699</v>
      </c>
    </row>
    <row r="59" ht="11.25" customHeight="1">
      <c r="A59" t="s">
        <v>16</v>
      </c>
      <c r="B59" t="s">
        <v>3132</v>
      </c>
      <c r="C59" t="s">
        <v>3133</v>
      </c>
      <c r="D59" t="s">
        <v>3172</v>
      </c>
      <c r="E59" t="s">
        <v>3173</v>
      </c>
      <c r="F59" t="s">
        <v>3064</v>
      </c>
      <c r="G59" t="s">
        <v>1703</v>
      </c>
    </row>
    <row r="60" ht="11.25" customHeight="1">
      <c r="A60" t="s">
        <v>16</v>
      </c>
      <c r="B60" t="s">
        <v>3132</v>
      </c>
      <c r="C60" t="s">
        <v>3133</v>
      </c>
      <c r="D60" t="s">
        <v>3174</v>
      </c>
      <c r="E60" t="s">
        <v>3175</v>
      </c>
      <c r="F60" t="s">
        <v>3061</v>
      </c>
      <c r="G60" t="s">
        <v>1706</v>
      </c>
    </row>
    <row r="61" ht="11.25" customHeight="1">
      <c r="A61" t="s">
        <v>16</v>
      </c>
      <c r="B61" t="s">
        <v>3132</v>
      </c>
      <c r="C61" t="s">
        <v>3133</v>
      </c>
      <c r="D61" t="s">
        <v>3176</v>
      </c>
      <c r="E61" t="s">
        <v>3177</v>
      </c>
      <c r="F61" t="s">
        <v>3064</v>
      </c>
      <c r="G61" t="s">
        <v>3178</v>
      </c>
    </row>
    <row r="62" ht="11.25" customHeight="1">
      <c r="A62" t="s">
        <v>16</v>
      </c>
      <c r="B62" t="s">
        <v>3132</v>
      </c>
      <c r="C62" t="s">
        <v>3133</v>
      </c>
      <c r="D62" t="s">
        <v>3179</v>
      </c>
      <c r="E62" t="s">
        <v>3180</v>
      </c>
      <c r="F62" t="s">
        <v>3064</v>
      </c>
      <c r="G62" t="s">
        <v>3181</v>
      </c>
    </row>
    <row r="63" ht="11.25" customHeight="1">
      <c r="A63" t="s">
        <v>16</v>
      </c>
      <c r="B63" t="s">
        <v>3132</v>
      </c>
      <c r="C63" t="s">
        <v>3133</v>
      </c>
      <c r="D63" t="s">
        <v>3182</v>
      </c>
      <c r="E63" t="s">
        <v>3183</v>
      </c>
      <c r="F63" t="s">
        <v>3064</v>
      </c>
      <c r="G63" t="s">
        <v>3184</v>
      </c>
    </row>
    <row r="64" ht="11.25" customHeight="1">
      <c r="A64" t="s">
        <v>16</v>
      </c>
      <c r="B64" t="s">
        <v>3185</v>
      </c>
      <c r="C64" t="s">
        <v>3186</v>
      </c>
      <c r="D64" t="s">
        <v>3185</v>
      </c>
      <c r="E64" t="s">
        <v>3186</v>
      </c>
      <c r="F64" t="s">
        <v>3055</v>
      </c>
      <c r="G64" t="s">
        <v>3187</v>
      </c>
    </row>
    <row r="65" ht="11.25" customHeight="1">
      <c r="A65" t="s">
        <v>16</v>
      </c>
      <c r="B65" t="s">
        <v>3188</v>
      </c>
      <c r="C65" t="s">
        <v>3189</v>
      </c>
      <c r="D65" t="s">
        <v>3190</v>
      </c>
      <c r="E65" t="s">
        <v>3191</v>
      </c>
      <c r="F65" t="s">
        <v>3064</v>
      </c>
      <c r="G65" t="s">
        <v>3192</v>
      </c>
    </row>
    <row r="66" ht="11.25" customHeight="1">
      <c r="A66" t="s">
        <v>16</v>
      </c>
      <c r="B66" t="s">
        <v>3188</v>
      </c>
      <c r="C66" t="s">
        <v>3189</v>
      </c>
      <c r="D66" t="s">
        <v>3193</v>
      </c>
      <c r="E66" t="s">
        <v>3194</v>
      </c>
      <c r="F66" t="s">
        <v>3064</v>
      </c>
      <c r="G66" t="s">
        <v>3195</v>
      </c>
    </row>
    <row r="67" ht="11.25" customHeight="1">
      <c r="A67" t="s">
        <v>16</v>
      </c>
      <c r="B67" t="s">
        <v>3188</v>
      </c>
      <c r="C67" t="s">
        <v>3189</v>
      </c>
      <c r="D67" t="s">
        <v>3196</v>
      </c>
      <c r="E67" t="s">
        <v>3197</v>
      </c>
      <c r="F67" t="s">
        <v>3064</v>
      </c>
      <c r="G67" t="s">
        <v>2022</v>
      </c>
    </row>
    <row r="68" ht="11.25" customHeight="1">
      <c r="A68" t="s">
        <v>16</v>
      </c>
      <c r="B68" t="s">
        <v>3188</v>
      </c>
      <c r="C68" t="s">
        <v>3189</v>
      </c>
      <c r="D68" t="s">
        <v>3198</v>
      </c>
      <c r="E68" t="s">
        <v>3199</v>
      </c>
      <c r="F68" t="s">
        <v>3064</v>
      </c>
      <c r="G68" t="s">
        <v>3200</v>
      </c>
    </row>
    <row r="69" ht="11.25" customHeight="1">
      <c r="A69" t="s">
        <v>16</v>
      </c>
      <c r="B69" t="s">
        <v>3188</v>
      </c>
      <c r="C69" t="s">
        <v>3189</v>
      </c>
      <c r="D69" t="s">
        <v>3188</v>
      </c>
      <c r="E69" t="s">
        <v>3189</v>
      </c>
      <c r="F69" t="s">
        <v>3058</v>
      </c>
      <c r="G69" t="s">
        <v>2225</v>
      </c>
    </row>
    <row r="70" ht="11.25" customHeight="1">
      <c r="A70" t="s">
        <v>16</v>
      </c>
      <c r="B70" t="s">
        <v>3188</v>
      </c>
      <c r="C70" t="s">
        <v>3189</v>
      </c>
      <c r="D70" t="s">
        <v>3201</v>
      </c>
      <c r="E70" t="s">
        <v>3202</v>
      </c>
      <c r="F70" t="s">
        <v>3064</v>
      </c>
      <c r="G70" t="s">
        <v>3203</v>
      </c>
    </row>
    <row r="71" ht="11.25" customHeight="1">
      <c r="A71" t="s">
        <v>16</v>
      </c>
      <c r="B71" t="s">
        <v>3188</v>
      </c>
      <c r="C71" t="s">
        <v>3189</v>
      </c>
      <c r="D71" t="s">
        <v>3204</v>
      </c>
      <c r="E71" t="s">
        <v>3205</v>
      </c>
      <c r="F71" t="s">
        <v>3064</v>
      </c>
      <c r="G71" t="s">
        <v>3206</v>
      </c>
    </row>
    <row r="72" ht="11.25" customHeight="1">
      <c r="A72" t="s">
        <v>16</v>
      </c>
      <c r="B72" t="s">
        <v>3188</v>
      </c>
      <c r="C72" t="s">
        <v>3189</v>
      </c>
      <c r="D72" t="s">
        <v>3207</v>
      </c>
      <c r="E72" t="s">
        <v>3208</v>
      </c>
      <c r="F72" t="s">
        <v>3064</v>
      </c>
      <c r="G72" t="s">
        <v>3209</v>
      </c>
    </row>
    <row r="73" ht="11.25" customHeight="1">
      <c r="A73" t="s">
        <v>16</v>
      </c>
      <c r="B73" t="s">
        <v>3188</v>
      </c>
      <c r="C73" t="s">
        <v>3189</v>
      </c>
      <c r="D73" t="s">
        <v>3210</v>
      </c>
      <c r="E73" t="s">
        <v>3211</v>
      </c>
      <c r="F73" t="s">
        <v>3064</v>
      </c>
      <c r="G73" t="s">
        <v>3212</v>
      </c>
    </row>
    <row r="74" ht="11.25" customHeight="1">
      <c r="A74" t="s">
        <v>16</v>
      </c>
      <c r="B74" t="s">
        <v>3188</v>
      </c>
      <c r="C74" t="s">
        <v>3189</v>
      </c>
      <c r="D74" t="s">
        <v>3213</v>
      </c>
      <c r="E74" t="s">
        <v>3214</v>
      </c>
      <c r="F74" t="s">
        <v>3064</v>
      </c>
      <c r="G74" t="s">
        <v>3215</v>
      </c>
    </row>
    <row r="75" ht="11.25" customHeight="1">
      <c r="A75" t="s">
        <v>16</v>
      </c>
      <c r="B75" t="s">
        <v>3188</v>
      </c>
      <c r="C75" t="s">
        <v>3189</v>
      </c>
      <c r="D75" t="s">
        <v>3216</v>
      </c>
      <c r="E75" t="s">
        <v>3217</v>
      </c>
      <c r="F75" t="s">
        <v>3218</v>
      </c>
      <c r="G75" t="s">
        <v>3219</v>
      </c>
    </row>
    <row r="76" ht="11.25" customHeight="1">
      <c r="A76" t="s">
        <v>16</v>
      </c>
      <c r="B76" t="s">
        <v>3188</v>
      </c>
      <c r="C76" t="s">
        <v>3189</v>
      </c>
      <c r="D76" t="s">
        <v>3220</v>
      </c>
      <c r="E76" t="s">
        <v>3221</v>
      </c>
      <c r="F76" t="s">
        <v>3061</v>
      </c>
      <c r="G76" t="s">
        <v>3222</v>
      </c>
    </row>
    <row r="77" ht="11.25" customHeight="1">
      <c r="A77" t="s">
        <v>16</v>
      </c>
      <c r="B77" t="s">
        <v>3188</v>
      </c>
      <c r="C77" t="s">
        <v>3189</v>
      </c>
      <c r="D77" t="s">
        <v>3223</v>
      </c>
      <c r="E77" t="s">
        <v>3224</v>
      </c>
      <c r="F77" t="s">
        <v>3064</v>
      </c>
      <c r="G77" t="s">
        <v>3225</v>
      </c>
    </row>
    <row r="78" ht="11.25" customHeight="1">
      <c r="A78" t="s">
        <v>16</v>
      </c>
      <c r="B78" t="s">
        <v>3226</v>
      </c>
      <c r="C78" t="s">
        <v>3227</v>
      </c>
      <c r="D78" t="s">
        <v>3226</v>
      </c>
      <c r="E78" t="s">
        <v>3227</v>
      </c>
      <c r="F78" t="s">
        <v>3055</v>
      </c>
      <c r="G78" t="s">
        <v>3228</v>
      </c>
    </row>
    <row r="79" ht="11.25" customHeight="1">
      <c r="A79" t="s">
        <v>16</v>
      </c>
      <c r="B79" t="s">
        <v>3229</v>
      </c>
      <c r="C79" t="s">
        <v>3230</v>
      </c>
      <c r="D79" t="s">
        <v>3231</v>
      </c>
      <c r="E79" t="s">
        <v>3232</v>
      </c>
      <c r="F79" t="s">
        <v>3064</v>
      </c>
      <c r="G79" t="s">
        <v>3233</v>
      </c>
    </row>
    <row r="80" ht="11.25" customHeight="1">
      <c r="A80" t="s">
        <v>16</v>
      </c>
      <c r="B80" t="s">
        <v>3229</v>
      </c>
      <c r="C80" t="s">
        <v>3230</v>
      </c>
      <c r="D80" t="s">
        <v>3234</v>
      </c>
      <c r="E80" t="s">
        <v>3235</v>
      </c>
      <c r="F80" t="s">
        <v>3064</v>
      </c>
      <c r="G80" t="s">
        <v>3236</v>
      </c>
    </row>
    <row r="81" ht="11.25" customHeight="1">
      <c r="A81" t="s">
        <v>16</v>
      </c>
      <c r="B81" t="s">
        <v>3229</v>
      </c>
      <c r="C81" t="s">
        <v>3230</v>
      </c>
      <c r="D81" t="s">
        <v>3237</v>
      </c>
      <c r="E81" t="s">
        <v>3238</v>
      </c>
      <c r="F81" t="s">
        <v>3064</v>
      </c>
      <c r="G81" t="s">
        <v>3239</v>
      </c>
    </row>
    <row r="82" ht="11.25" customHeight="1">
      <c r="A82" t="s">
        <v>16</v>
      </c>
      <c r="B82" t="s">
        <v>3229</v>
      </c>
      <c r="C82" t="s">
        <v>3230</v>
      </c>
      <c r="D82" t="s">
        <v>3240</v>
      </c>
      <c r="E82" t="s">
        <v>3241</v>
      </c>
      <c r="F82" t="s">
        <v>3064</v>
      </c>
      <c r="G82" t="s">
        <v>3242</v>
      </c>
    </row>
    <row r="83" ht="11.25" customHeight="1">
      <c r="A83" t="s">
        <v>16</v>
      </c>
      <c r="B83" t="s">
        <v>3229</v>
      </c>
      <c r="C83" t="s">
        <v>3230</v>
      </c>
      <c r="D83" t="s">
        <v>3229</v>
      </c>
      <c r="E83" t="s">
        <v>3230</v>
      </c>
      <c r="F83" t="s">
        <v>3058</v>
      </c>
      <c r="G83" t="s">
        <v>3243</v>
      </c>
    </row>
    <row r="84" ht="11.25" customHeight="1">
      <c r="A84" t="s">
        <v>16</v>
      </c>
      <c r="B84" t="s">
        <v>3229</v>
      </c>
      <c r="C84" t="s">
        <v>3230</v>
      </c>
      <c r="D84" t="s">
        <v>3244</v>
      </c>
      <c r="E84" t="s">
        <v>3245</v>
      </c>
      <c r="F84" t="s">
        <v>3218</v>
      </c>
      <c r="G84" t="s">
        <v>3246</v>
      </c>
    </row>
    <row r="85" ht="11.25" customHeight="1">
      <c r="A85" t="s">
        <v>16</v>
      </c>
      <c r="B85" t="s">
        <v>3229</v>
      </c>
      <c r="C85" t="s">
        <v>3230</v>
      </c>
      <c r="D85" t="s">
        <v>3247</v>
      </c>
      <c r="E85" t="s">
        <v>3248</v>
      </c>
      <c r="F85" t="s">
        <v>3064</v>
      </c>
      <c r="G85" t="s">
        <v>3249</v>
      </c>
    </row>
    <row r="86" ht="11.25" customHeight="1">
      <c r="A86" t="s">
        <v>16</v>
      </c>
      <c r="B86" t="s">
        <v>3229</v>
      </c>
      <c r="C86" t="s">
        <v>3230</v>
      </c>
      <c r="D86" t="s">
        <v>3250</v>
      </c>
      <c r="E86" t="s">
        <v>3251</v>
      </c>
      <c r="F86" t="s">
        <v>3064</v>
      </c>
      <c r="G86" t="s">
        <v>3252</v>
      </c>
    </row>
    <row r="87" ht="11.25" customHeight="1">
      <c r="A87" t="s">
        <v>16</v>
      </c>
      <c r="B87" t="s">
        <v>3229</v>
      </c>
      <c r="C87" t="s">
        <v>3230</v>
      </c>
      <c r="D87" t="s">
        <v>3253</v>
      </c>
      <c r="E87" t="s">
        <v>3254</v>
      </c>
      <c r="F87" t="s">
        <v>3064</v>
      </c>
      <c r="G87" t="s">
        <v>3255</v>
      </c>
    </row>
    <row r="88" ht="11.25" customHeight="1">
      <c r="A88" t="s">
        <v>16</v>
      </c>
      <c r="B88" t="s">
        <v>3229</v>
      </c>
      <c r="C88" t="s">
        <v>3230</v>
      </c>
      <c r="D88" t="s">
        <v>3256</v>
      </c>
      <c r="E88" t="s">
        <v>3257</v>
      </c>
      <c r="F88" t="s">
        <v>3064</v>
      </c>
      <c r="G88" t="s">
        <v>3258</v>
      </c>
    </row>
    <row r="89" ht="11.25" customHeight="1">
      <c r="A89" t="s">
        <v>16</v>
      </c>
      <c r="B89" t="s">
        <v>3229</v>
      </c>
      <c r="C89" t="s">
        <v>3230</v>
      </c>
      <c r="D89" t="s">
        <v>3259</v>
      </c>
      <c r="E89" t="s">
        <v>3260</v>
      </c>
      <c r="F89" t="s">
        <v>3064</v>
      </c>
      <c r="G89" t="s">
        <v>3261</v>
      </c>
    </row>
    <row r="90" ht="11.25" customHeight="1">
      <c r="A90" t="s">
        <v>16</v>
      </c>
      <c r="B90" t="s">
        <v>3262</v>
      </c>
      <c r="C90" t="s">
        <v>3263</v>
      </c>
      <c r="D90" t="s">
        <v>3262</v>
      </c>
      <c r="E90" t="s">
        <v>3263</v>
      </c>
      <c r="F90" t="s">
        <v>3055</v>
      </c>
      <c r="G90" t="s">
        <v>3264</v>
      </c>
    </row>
    <row r="91" ht="11.25" customHeight="1">
      <c r="A91" t="s">
        <v>16</v>
      </c>
      <c r="B91" t="s">
        <v>3265</v>
      </c>
      <c r="C91" t="s">
        <v>3266</v>
      </c>
      <c r="D91" t="s">
        <v>3267</v>
      </c>
      <c r="E91" t="s">
        <v>3268</v>
      </c>
      <c r="F91" t="s">
        <v>3064</v>
      </c>
      <c r="G91" t="s">
        <v>3269</v>
      </c>
    </row>
    <row r="92" ht="11.25" customHeight="1">
      <c r="A92" t="s">
        <v>16</v>
      </c>
      <c r="B92" t="s">
        <v>3265</v>
      </c>
      <c r="C92" t="s">
        <v>3266</v>
      </c>
      <c r="D92" t="s">
        <v>3270</v>
      </c>
      <c r="E92" t="s">
        <v>3271</v>
      </c>
      <c r="F92" t="s">
        <v>3064</v>
      </c>
      <c r="G92" t="s">
        <v>3272</v>
      </c>
    </row>
    <row r="93" ht="11.25" customHeight="1">
      <c r="A93" t="s">
        <v>16</v>
      </c>
      <c r="B93" t="s">
        <v>3265</v>
      </c>
      <c r="C93" t="s">
        <v>3266</v>
      </c>
      <c r="D93" t="s">
        <v>3273</v>
      </c>
      <c r="E93" t="s">
        <v>3274</v>
      </c>
      <c r="F93" t="s">
        <v>3064</v>
      </c>
      <c r="G93" t="s">
        <v>3275</v>
      </c>
    </row>
    <row r="94" ht="11.25" customHeight="1">
      <c r="A94" t="s">
        <v>16</v>
      </c>
      <c r="B94" t="s">
        <v>3265</v>
      </c>
      <c r="C94" t="s">
        <v>3266</v>
      </c>
      <c r="D94" t="s">
        <v>3276</v>
      </c>
      <c r="E94" t="s">
        <v>3277</v>
      </c>
      <c r="F94" t="s">
        <v>3064</v>
      </c>
      <c r="G94" t="s">
        <v>3278</v>
      </c>
    </row>
    <row r="95" ht="11.25" customHeight="1">
      <c r="A95" t="s">
        <v>16</v>
      </c>
      <c r="B95" t="s">
        <v>3265</v>
      </c>
      <c r="C95" t="s">
        <v>3266</v>
      </c>
      <c r="D95" t="s">
        <v>3279</v>
      </c>
      <c r="E95" t="s">
        <v>3280</v>
      </c>
      <c r="F95" t="s">
        <v>3064</v>
      </c>
      <c r="G95" t="s">
        <v>3281</v>
      </c>
    </row>
    <row r="96" ht="11.25" customHeight="1">
      <c r="A96" t="s">
        <v>16</v>
      </c>
      <c r="B96" t="s">
        <v>3265</v>
      </c>
      <c r="C96" t="s">
        <v>3266</v>
      </c>
      <c r="D96" t="s">
        <v>3265</v>
      </c>
      <c r="E96" t="s">
        <v>3266</v>
      </c>
      <c r="F96" t="s">
        <v>3058</v>
      </c>
      <c r="G96" t="s">
        <v>3282</v>
      </c>
    </row>
    <row r="97" ht="11.25" customHeight="1">
      <c r="A97" t="s">
        <v>16</v>
      </c>
      <c r="B97" t="s">
        <v>3265</v>
      </c>
      <c r="C97" t="s">
        <v>3266</v>
      </c>
      <c r="D97" t="s">
        <v>3283</v>
      </c>
      <c r="E97" t="s">
        <v>3284</v>
      </c>
      <c r="F97" t="s">
        <v>3064</v>
      </c>
      <c r="G97" t="s">
        <v>3285</v>
      </c>
    </row>
    <row r="98" ht="11.25" customHeight="1">
      <c r="A98" t="s">
        <v>16</v>
      </c>
      <c r="B98" t="s">
        <v>3265</v>
      </c>
      <c r="C98" t="s">
        <v>3266</v>
      </c>
      <c r="D98" t="s">
        <v>3286</v>
      </c>
      <c r="E98" t="s">
        <v>3287</v>
      </c>
      <c r="F98" t="s">
        <v>3061</v>
      </c>
      <c r="G98" t="s">
        <v>3288</v>
      </c>
    </row>
    <row r="99" ht="11.25" customHeight="1">
      <c r="A99" t="s">
        <v>16</v>
      </c>
      <c r="B99" t="s">
        <v>3265</v>
      </c>
      <c r="C99" t="s">
        <v>3266</v>
      </c>
      <c r="D99" t="s">
        <v>3289</v>
      </c>
      <c r="E99" t="s">
        <v>3290</v>
      </c>
      <c r="F99" t="s">
        <v>3064</v>
      </c>
      <c r="G99" t="s">
        <v>3291</v>
      </c>
    </row>
    <row r="100" ht="11.25" customHeight="1">
      <c r="A100" t="s">
        <v>16</v>
      </c>
      <c r="B100" t="s">
        <v>3265</v>
      </c>
      <c r="C100" t="s">
        <v>3266</v>
      </c>
      <c r="D100" t="s">
        <v>3292</v>
      </c>
      <c r="E100" t="s">
        <v>3293</v>
      </c>
      <c r="F100" t="s">
        <v>3061</v>
      </c>
      <c r="G100" t="s">
        <v>3294</v>
      </c>
    </row>
    <row r="101" ht="11.25" customHeight="1">
      <c r="A101" t="s">
        <v>16</v>
      </c>
      <c r="B101" t="s">
        <v>3265</v>
      </c>
      <c r="C101" t="s">
        <v>3266</v>
      </c>
      <c r="D101" t="s">
        <v>3295</v>
      </c>
      <c r="E101" t="s">
        <v>3296</v>
      </c>
      <c r="F101" t="s">
        <v>3064</v>
      </c>
      <c r="G101" t="s">
        <v>3297</v>
      </c>
    </row>
    <row r="102" ht="11.25" customHeight="1">
      <c r="A102" t="s">
        <v>16</v>
      </c>
      <c r="B102" t="s">
        <v>3298</v>
      </c>
      <c r="C102" t="s">
        <v>3299</v>
      </c>
      <c r="D102" t="s">
        <v>3298</v>
      </c>
      <c r="E102" t="s">
        <v>3299</v>
      </c>
      <c r="F102" t="s">
        <v>3055</v>
      </c>
      <c r="G102" t="s">
        <v>3300</v>
      </c>
    </row>
    <row r="103" ht="11.25" customHeight="1">
      <c r="A103" t="s">
        <v>16</v>
      </c>
      <c r="B103" t="s">
        <v>3301</v>
      </c>
      <c r="C103" t="s">
        <v>3302</v>
      </c>
      <c r="D103" t="s">
        <v>3303</v>
      </c>
      <c r="E103" t="s">
        <v>3304</v>
      </c>
      <c r="F103" t="s">
        <v>3064</v>
      </c>
      <c r="G103" t="s">
        <v>3305</v>
      </c>
    </row>
    <row r="104" ht="11.25" customHeight="1">
      <c r="A104" t="s">
        <v>16</v>
      </c>
      <c r="B104" t="s">
        <v>3301</v>
      </c>
      <c r="C104" t="s">
        <v>3302</v>
      </c>
      <c r="D104" t="s">
        <v>3306</v>
      </c>
      <c r="E104" t="s">
        <v>3307</v>
      </c>
      <c r="F104" t="s">
        <v>3064</v>
      </c>
      <c r="G104" t="s">
        <v>3308</v>
      </c>
    </row>
    <row r="105" ht="11.25" customHeight="1">
      <c r="A105" t="s">
        <v>16</v>
      </c>
      <c r="B105" t="s">
        <v>3301</v>
      </c>
      <c r="C105" t="s">
        <v>3302</v>
      </c>
      <c r="D105" t="s">
        <v>3309</v>
      </c>
      <c r="E105" t="s">
        <v>3310</v>
      </c>
      <c r="F105" t="s">
        <v>3064</v>
      </c>
      <c r="G105" t="s">
        <v>3311</v>
      </c>
    </row>
    <row r="106" ht="11.25" customHeight="1">
      <c r="A106" t="s">
        <v>16</v>
      </c>
      <c r="B106" t="s">
        <v>3301</v>
      </c>
      <c r="C106" t="s">
        <v>3302</v>
      </c>
      <c r="D106" t="s">
        <v>3312</v>
      </c>
      <c r="E106" t="s">
        <v>3313</v>
      </c>
      <c r="F106" t="s">
        <v>3064</v>
      </c>
      <c r="G106" t="s">
        <v>3314</v>
      </c>
    </row>
    <row r="107" ht="11.25" customHeight="1">
      <c r="A107" t="s">
        <v>16</v>
      </c>
      <c r="B107" t="s">
        <v>3301</v>
      </c>
      <c r="C107" t="s">
        <v>3302</v>
      </c>
      <c r="D107" t="s">
        <v>3315</v>
      </c>
      <c r="E107" t="s">
        <v>3316</v>
      </c>
      <c r="F107" t="s">
        <v>3064</v>
      </c>
      <c r="G107" t="s">
        <v>3317</v>
      </c>
    </row>
    <row r="108" ht="11.25" customHeight="1">
      <c r="A108" t="s">
        <v>16</v>
      </c>
      <c r="B108" t="s">
        <v>3301</v>
      </c>
      <c r="C108" t="s">
        <v>3302</v>
      </c>
      <c r="D108" t="s">
        <v>3318</v>
      </c>
      <c r="E108" t="s">
        <v>3319</v>
      </c>
      <c r="F108" t="s">
        <v>3064</v>
      </c>
      <c r="G108" t="s">
        <v>3320</v>
      </c>
    </row>
    <row r="109" ht="11.25" customHeight="1">
      <c r="A109" t="s">
        <v>16</v>
      </c>
      <c r="B109" t="s">
        <v>3301</v>
      </c>
      <c r="C109" t="s">
        <v>3302</v>
      </c>
      <c r="D109" t="s">
        <v>3321</v>
      </c>
      <c r="E109" t="s">
        <v>3322</v>
      </c>
      <c r="F109" t="s">
        <v>3064</v>
      </c>
      <c r="G109" t="s">
        <v>3323</v>
      </c>
    </row>
    <row r="110" ht="11.25" customHeight="1">
      <c r="A110" t="s">
        <v>16</v>
      </c>
      <c r="B110" t="s">
        <v>3301</v>
      </c>
      <c r="C110" t="s">
        <v>3302</v>
      </c>
      <c r="D110" t="s">
        <v>3301</v>
      </c>
      <c r="E110" t="s">
        <v>3302</v>
      </c>
      <c r="F110" t="s">
        <v>3058</v>
      </c>
      <c r="G110" t="s">
        <v>3324</v>
      </c>
    </row>
    <row r="111" ht="11.25" customHeight="1">
      <c r="A111" t="s">
        <v>16</v>
      </c>
      <c r="B111" t="s">
        <v>3301</v>
      </c>
      <c r="C111" t="s">
        <v>3302</v>
      </c>
      <c r="D111" t="s">
        <v>3325</v>
      </c>
      <c r="E111" t="s">
        <v>3326</v>
      </c>
      <c r="F111" t="s">
        <v>3218</v>
      </c>
      <c r="G111" t="s">
        <v>3327</v>
      </c>
    </row>
    <row r="112" ht="11.25" customHeight="1">
      <c r="A112" t="s">
        <v>16</v>
      </c>
      <c r="B112" t="s">
        <v>3301</v>
      </c>
      <c r="C112" t="s">
        <v>3302</v>
      </c>
      <c r="D112" t="s">
        <v>3328</v>
      </c>
      <c r="E112" t="s">
        <v>3329</v>
      </c>
      <c r="F112" t="s">
        <v>3064</v>
      </c>
      <c r="G112" t="s">
        <v>3330</v>
      </c>
    </row>
    <row r="113" ht="11.25" customHeight="1">
      <c r="A113" t="s">
        <v>16</v>
      </c>
      <c r="B113" t="s">
        <v>3301</v>
      </c>
      <c r="C113" t="s">
        <v>3302</v>
      </c>
      <c r="D113" t="s">
        <v>3331</v>
      </c>
      <c r="E113" t="s">
        <v>3332</v>
      </c>
      <c r="F113" t="s">
        <v>3061</v>
      </c>
      <c r="G113" t="s">
        <v>3333</v>
      </c>
    </row>
    <row r="114" ht="11.25" customHeight="1">
      <c r="A114" t="s">
        <v>16</v>
      </c>
      <c r="B114" t="s">
        <v>3301</v>
      </c>
      <c r="C114" t="s">
        <v>3302</v>
      </c>
      <c r="D114" t="s">
        <v>3334</v>
      </c>
      <c r="E114" t="s">
        <v>3335</v>
      </c>
      <c r="F114" t="s">
        <v>3064</v>
      </c>
      <c r="G114" t="s">
        <v>3336</v>
      </c>
    </row>
    <row r="115" ht="11.25" customHeight="1">
      <c r="A115" t="s">
        <v>16</v>
      </c>
      <c r="B115" t="s">
        <v>3301</v>
      </c>
      <c r="C115" t="s">
        <v>3302</v>
      </c>
      <c r="D115" t="s">
        <v>3337</v>
      </c>
      <c r="E115" t="s">
        <v>3338</v>
      </c>
      <c r="F115" t="s">
        <v>3064</v>
      </c>
      <c r="G115" t="s">
        <v>3339</v>
      </c>
    </row>
    <row r="116" ht="11.25" customHeight="1">
      <c r="A116" t="s">
        <v>16</v>
      </c>
      <c r="B116" t="s">
        <v>3301</v>
      </c>
      <c r="C116" t="s">
        <v>3302</v>
      </c>
      <c r="D116" t="s">
        <v>3340</v>
      </c>
      <c r="E116" t="s">
        <v>3341</v>
      </c>
      <c r="F116" t="s">
        <v>3064</v>
      </c>
      <c r="G116" t="s">
        <v>3342</v>
      </c>
    </row>
    <row r="117" ht="11.25" customHeight="1">
      <c r="A117" t="s">
        <v>16</v>
      </c>
      <c r="B117" t="s">
        <v>3301</v>
      </c>
      <c r="C117" t="s">
        <v>3302</v>
      </c>
      <c r="D117" t="s">
        <v>3343</v>
      </c>
      <c r="E117" t="s">
        <v>3344</v>
      </c>
      <c r="F117" t="s">
        <v>3064</v>
      </c>
      <c r="G117" t="s">
        <v>3345</v>
      </c>
    </row>
    <row r="118" ht="11.25" customHeight="1">
      <c r="A118" t="s">
        <v>16</v>
      </c>
      <c r="B118" t="s">
        <v>3301</v>
      </c>
      <c r="C118" t="s">
        <v>3302</v>
      </c>
      <c r="D118" t="s">
        <v>3346</v>
      </c>
      <c r="E118" t="s">
        <v>3347</v>
      </c>
      <c r="F118" t="s">
        <v>3064</v>
      </c>
      <c r="G118" t="s">
        <v>3348</v>
      </c>
    </row>
    <row r="119" ht="11.25" customHeight="1">
      <c r="A119" t="s">
        <v>16</v>
      </c>
      <c r="B119" t="s">
        <v>3301</v>
      </c>
      <c r="C119" t="s">
        <v>3302</v>
      </c>
      <c r="D119" t="s">
        <v>3349</v>
      </c>
      <c r="E119" t="s">
        <v>3350</v>
      </c>
      <c r="F119" t="s">
        <v>3064</v>
      </c>
      <c r="G119" t="s">
        <v>3351</v>
      </c>
    </row>
    <row r="120" ht="11.25" customHeight="1">
      <c r="A120" t="s">
        <v>16</v>
      </c>
      <c r="B120" t="s">
        <v>3301</v>
      </c>
      <c r="C120" t="s">
        <v>3302</v>
      </c>
      <c r="D120" t="s">
        <v>3352</v>
      </c>
      <c r="E120" t="s">
        <v>3353</v>
      </c>
      <c r="F120" t="s">
        <v>3064</v>
      </c>
      <c r="G120" t="s">
        <v>3354</v>
      </c>
    </row>
    <row r="121" ht="11.25" customHeight="1">
      <c r="A121" t="s">
        <v>16</v>
      </c>
      <c r="B121" t="s">
        <v>3355</v>
      </c>
      <c r="C121" t="s">
        <v>3356</v>
      </c>
      <c r="D121" t="s">
        <v>3355</v>
      </c>
      <c r="E121" t="s">
        <v>3356</v>
      </c>
      <c r="F121" t="s">
        <v>3055</v>
      </c>
      <c r="G121" t="s">
        <v>3357</v>
      </c>
    </row>
    <row r="122" ht="11.25" customHeight="1">
      <c r="A122" t="s">
        <v>16</v>
      </c>
      <c r="B122" t="s">
        <v>3358</v>
      </c>
      <c r="C122" t="s">
        <v>3359</v>
      </c>
      <c r="D122" t="s">
        <v>3360</v>
      </c>
      <c r="E122" t="s">
        <v>3361</v>
      </c>
      <c r="F122" t="s">
        <v>3064</v>
      </c>
      <c r="G122" t="s">
        <v>3362</v>
      </c>
    </row>
    <row r="123" ht="11.25" customHeight="1">
      <c r="A123" t="s">
        <v>16</v>
      </c>
      <c r="B123" t="s">
        <v>3358</v>
      </c>
      <c r="C123" t="s">
        <v>3359</v>
      </c>
      <c r="D123" t="s">
        <v>3363</v>
      </c>
      <c r="E123" t="s">
        <v>3364</v>
      </c>
      <c r="F123" t="s">
        <v>3064</v>
      </c>
      <c r="G123" t="s">
        <v>3365</v>
      </c>
    </row>
    <row r="124" ht="11.25" customHeight="1">
      <c r="A124" t="s">
        <v>16</v>
      </c>
      <c r="B124" t="s">
        <v>3358</v>
      </c>
      <c r="C124" t="s">
        <v>3359</v>
      </c>
      <c r="D124" t="s">
        <v>3366</v>
      </c>
      <c r="E124" t="s">
        <v>3367</v>
      </c>
      <c r="F124" t="s">
        <v>3064</v>
      </c>
      <c r="G124" t="s">
        <v>3368</v>
      </c>
    </row>
    <row r="125" ht="11.25" customHeight="1">
      <c r="A125" t="s">
        <v>16</v>
      </c>
      <c r="B125" t="s">
        <v>3358</v>
      </c>
      <c r="C125" t="s">
        <v>3359</v>
      </c>
      <c r="D125" t="s">
        <v>3358</v>
      </c>
      <c r="E125" t="s">
        <v>3359</v>
      </c>
      <c r="F125" t="s">
        <v>3058</v>
      </c>
      <c r="G125" t="s">
        <v>3369</v>
      </c>
    </row>
    <row r="126" ht="11.25" customHeight="1">
      <c r="A126" t="s">
        <v>16</v>
      </c>
      <c r="B126" t="s">
        <v>3358</v>
      </c>
      <c r="C126" t="s">
        <v>3359</v>
      </c>
      <c r="D126" t="s">
        <v>3370</v>
      </c>
      <c r="E126" t="s">
        <v>3371</v>
      </c>
      <c r="F126" t="s">
        <v>3061</v>
      </c>
      <c r="G126" t="s">
        <v>3372</v>
      </c>
    </row>
    <row r="127" ht="11.25" customHeight="1">
      <c r="A127" t="s">
        <v>16</v>
      </c>
      <c r="B127" t="s">
        <v>3358</v>
      </c>
      <c r="C127" t="s">
        <v>3359</v>
      </c>
      <c r="D127" t="s">
        <v>3373</v>
      </c>
      <c r="E127" t="s">
        <v>3374</v>
      </c>
      <c r="F127" t="s">
        <v>3064</v>
      </c>
      <c r="G127" t="s">
        <v>3375</v>
      </c>
    </row>
    <row r="128" ht="11.25" customHeight="1">
      <c r="A128" t="s">
        <v>16</v>
      </c>
      <c r="B128" t="s">
        <v>3376</v>
      </c>
      <c r="C128" t="s">
        <v>3377</v>
      </c>
      <c r="D128" t="s">
        <v>3376</v>
      </c>
      <c r="E128" t="s">
        <v>3377</v>
      </c>
      <c r="F128" t="s">
        <v>3055</v>
      </c>
      <c r="G128" t="s">
        <v>3378</v>
      </c>
    </row>
    <row r="129" ht="11.25" customHeight="1">
      <c r="A129" t="s">
        <v>16</v>
      </c>
      <c r="B129" t="s">
        <v>99</v>
      </c>
      <c r="C129" t="s">
        <v>3379</v>
      </c>
      <c r="D129" t="s">
        <v>3380</v>
      </c>
      <c r="E129" t="s">
        <v>3381</v>
      </c>
      <c r="F129" t="s">
        <v>3064</v>
      </c>
      <c r="G129" t="s">
        <v>3382</v>
      </c>
    </row>
    <row r="130" ht="11.25" customHeight="1">
      <c r="A130" t="s">
        <v>16</v>
      </c>
      <c r="B130" t="s">
        <v>99</v>
      </c>
      <c r="C130" t="s">
        <v>3379</v>
      </c>
      <c r="D130" t="s">
        <v>3383</v>
      </c>
      <c r="E130" t="s">
        <v>3384</v>
      </c>
      <c r="F130" t="s">
        <v>3064</v>
      </c>
      <c r="G130" t="s">
        <v>3385</v>
      </c>
    </row>
    <row r="131" ht="11.25" customHeight="1">
      <c r="A131" t="s">
        <v>16</v>
      </c>
      <c r="B131" t="s">
        <v>99</v>
      </c>
      <c r="C131" t="s">
        <v>3379</v>
      </c>
      <c r="D131" t="s">
        <v>100</v>
      </c>
      <c r="E131" t="s">
        <v>101</v>
      </c>
      <c r="F131" t="s">
        <v>3218</v>
      </c>
      <c r="G131" t="s">
        <v>98</v>
      </c>
    </row>
    <row r="132" ht="11.25" customHeight="1">
      <c r="A132" t="s">
        <v>16</v>
      </c>
      <c r="B132" t="s">
        <v>99</v>
      </c>
      <c r="C132" t="s">
        <v>3379</v>
      </c>
      <c r="D132" t="s">
        <v>3331</v>
      </c>
      <c r="E132" t="s">
        <v>3386</v>
      </c>
      <c r="F132" t="s">
        <v>3064</v>
      </c>
      <c r="G132" t="s">
        <v>3387</v>
      </c>
    </row>
    <row r="133" ht="11.25" customHeight="1">
      <c r="A133" t="s">
        <v>16</v>
      </c>
      <c r="B133" t="s">
        <v>99</v>
      </c>
      <c r="C133" t="s">
        <v>3379</v>
      </c>
      <c r="D133" t="s">
        <v>3388</v>
      </c>
      <c r="E133" t="s">
        <v>3389</v>
      </c>
      <c r="F133" t="s">
        <v>3064</v>
      </c>
      <c r="G133" t="s">
        <v>3390</v>
      </c>
    </row>
    <row r="134" ht="11.25" customHeight="1">
      <c r="A134" t="s">
        <v>16</v>
      </c>
      <c r="B134" t="s">
        <v>99</v>
      </c>
      <c r="C134" t="s">
        <v>3379</v>
      </c>
      <c r="D134" t="s">
        <v>3391</v>
      </c>
      <c r="E134" t="s">
        <v>3392</v>
      </c>
      <c r="F134" t="s">
        <v>3064</v>
      </c>
      <c r="G134" t="s">
        <v>3393</v>
      </c>
    </row>
    <row r="135" ht="11.25" customHeight="1">
      <c r="A135" t="s">
        <v>16</v>
      </c>
      <c r="B135" t="s">
        <v>99</v>
      </c>
      <c r="C135" t="s">
        <v>3379</v>
      </c>
      <c r="D135" t="s">
        <v>99</v>
      </c>
      <c r="E135" t="s">
        <v>3379</v>
      </c>
      <c r="F135" t="s">
        <v>3058</v>
      </c>
      <c r="G135" t="s">
        <v>3394</v>
      </c>
    </row>
    <row r="136" ht="11.25" customHeight="1">
      <c r="A136" t="s">
        <v>16</v>
      </c>
      <c r="B136" t="s">
        <v>99</v>
      </c>
      <c r="C136" t="s">
        <v>3379</v>
      </c>
      <c r="D136" t="s">
        <v>3395</v>
      </c>
      <c r="E136" t="s">
        <v>3396</v>
      </c>
      <c r="F136" t="s">
        <v>3061</v>
      </c>
      <c r="G136" t="s">
        <v>3397</v>
      </c>
    </row>
    <row r="137" ht="11.25" customHeight="1">
      <c r="A137" t="s">
        <v>16</v>
      </c>
      <c r="B137" t="s">
        <v>99</v>
      </c>
      <c r="C137" t="s">
        <v>3379</v>
      </c>
      <c r="D137" t="s">
        <v>3398</v>
      </c>
      <c r="E137" t="s">
        <v>3399</v>
      </c>
      <c r="F137" t="s">
        <v>3064</v>
      </c>
      <c r="G137" t="s">
        <v>3400</v>
      </c>
    </row>
    <row r="138" ht="11.25" customHeight="1">
      <c r="A138" t="s">
        <v>16</v>
      </c>
      <c r="B138" t="s">
        <v>3401</v>
      </c>
      <c r="C138" t="s">
        <v>3402</v>
      </c>
      <c r="D138" t="s">
        <v>3401</v>
      </c>
      <c r="E138" t="s">
        <v>3402</v>
      </c>
      <c r="F138" t="s">
        <v>3055</v>
      </c>
      <c r="G138" t="s">
        <v>3403</v>
      </c>
    </row>
    <row r="139" ht="11.25" customHeight="1">
      <c r="A139" t="s">
        <v>16</v>
      </c>
      <c r="B139" t="s">
        <v>3404</v>
      </c>
      <c r="C139" t="s">
        <v>3405</v>
      </c>
      <c r="D139" t="s">
        <v>3406</v>
      </c>
      <c r="E139" t="s">
        <v>3407</v>
      </c>
      <c r="F139" t="s">
        <v>3064</v>
      </c>
      <c r="G139" t="s">
        <v>3408</v>
      </c>
    </row>
    <row r="140" ht="11.25" customHeight="1">
      <c r="A140" t="s">
        <v>16</v>
      </c>
      <c r="B140" t="s">
        <v>3404</v>
      </c>
      <c r="C140" t="s">
        <v>3405</v>
      </c>
      <c r="D140" t="s">
        <v>3409</v>
      </c>
      <c r="E140" t="s">
        <v>3410</v>
      </c>
      <c r="F140" t="s">
        <v>3064</v>
      </c>
      <c r="G140" t="s">
        <v>3411</v>
      </c>
    </row>
    <row r="141" ht="11.25" customHeight="1">
      <c r="A141" t="s">
        <v>16</v>
      </c>
      <c r="B141" t="s">
        <v>3404</v>
      </c>
      <c r="C141" t="s">
        <v>3405</v>
      </c>
      <c r="D141" t="s">
        <v>3412</v>
      </c>
      <c r="E141" t="s">
        <v>3413</v>
      </c>
      <c r="F141" t="s">
        <v>3064</v>
      </c>
      <c r="G141" t="s">
        <v>3414</v>
      </c>
    </row>
    <row r="142" ht="11.25" customHeight="1">
      <c r="A142" t="s">
        <v>16</v>
      </c>
      <c r="B142" t="s">
        <v>3404</v>
      </c>
      <c r="C142" t="s">
        <v>3405</v>
      </c>
      <c r="D142" t="s">
        <v>3415</v>
      </c>
      <c r="E142" t="s">
        <v>3416</v>
      </c>
      <c r="F142" t="s">
        <v>3064</v>
      </c>
      <c r="G142" t="s">
        <v>3417</v>
      </c>
    </row>
    <row r="143" ht="11.25" customHeight="1">
      <c r="A143" t="s">
        <v>16</v>
      </c>
      <c r="B143" t="s">
        <v>3404</v>
      </c>
      <c r="C143" t="s">
        <v>3405</v>
      </c>
      <c r="D143" t="s">
        <v>3404</v>
      </c>
      <c r="E143" t="s">
        <v>3405</v>
      </c>
      <c r="F143" t="s">
        <v>3058</v>
      </c>
      <c r="G143" t="s">
        <v>3418</v>
      </c>
    </row>
    <row r="144" ht="11.25" customHeight="1">
      <c r="A144" t="s">
        <v>16</v>
      </c>
      <c r="B144" t="s">
        <v>3404</v>
      </c>
      <c r="C144" t="s">
        <v>3405</v>
      </c>
      <c r="D144" t="s">
        <v>3419</v>
      </c>
      <c r="E144" t="s">
        <v>3420</v>
      </c>
      <c r="F144" t="s">
        <v>3064</v>
      </c>
      <c r="G144" t="s">
        <v>3421</v>
      </c>
    </row>
    <row r="145" ht="11.25" customHeight="1">
      <c r="A145" t="s">
        <v>16</v>
      </c>
      <c r="B145" t="s">
        <v>3404</v>
      </c>
      <c r="C145" t="s">
        <v>3405</v>
      </c>
      <c r="D145" t="s">
        <v>3422</v>
      </c>
      <c r="E145" t="s">
        <v>3423</v>
      </c>
      <c r="F145" t="s">
        <v>3064</v>
      </c>
      <c r="G145" t="s">
        <v>3424</v>
      </c>
    </row>
    <row r="146" ht="11.25" customHeight="1">
      <c r="A146" t="s">
        <v>16</v>
      </c>
      <c r="B146" t="s">
        <v>3425</v>
      </c>
      <c r="C146" t="s">
        <v>3426</v>
      </c>
      <c r="D146" t="s">
        <v>3425</v>
      </c>
      <c r="E146" t="s">
        <v>3426</v>
      </c>
      <c r="F146" t="s">
        <v>3055</v>
      </c>
      <c r="G146" t="s">
        <v>3427</v>
      </c>
    </row>
    <row r="147" ht="11.25" customHeight="1">
      <c r="A147" t="s">
        <v>16</v>
      </c>
      <c r="B147" t="s">
        <v>3428</v>
      </c>
      <c r="C147" t="s">
        <v>3429</v>
      </c>
      <c r="D147" t="s">
        <v>3430</v>
      </c>
      <c r="E147" t="s">
        <v>3431</v>
      </c>
      <c r="F147" t="s">
        <v>3064</v>
      </c>
      <c r="G147" t="s">
        <v>3432</v>
      </c>
    </row>
    <row r="148" ht="11.25" customHeight="1">
      <c r="A148" t="s">
        <v>16</v>
      </c>
      <c r="B148" t="s">
        <v>3428</v>
      </c>
      <c r="C148" t="s">
        <v>3429</v>
      </c>
      <c r="D148" t="s">
        <v>3433</v>
      </c>
      <c r="E148" t="s">
        <v>3434</v>
      </c>
      <c r="F148" t="s">
        <v>3064</v>
      </c>
      <c r="G148" t="s">
        <v>3435</v>
      </c>
    </row>
    <row r="149" ht="11.25" customHeight="1">
      <c r="A149" t="s">
        <v>16</v>
      </c>
      <c r="B149" t="s">
        <v>3428</v>
      </c>
      <c r="C149" t="s">
        <v>3429</v>
      </c>
      <c r="D149" t="s">
        <v>3436</v>
      </c>
      <c r="E149" t="s">
        <v>3437</v>
      </c>
      <c r="F149" t="s">
        <v>3064</v>
      </c>
      <c r="G149" t="s">
        <v>3438</v>
      </c>
    </row>
    <row r="150" ht="11.25" customHeight="1">
      <c r="A150" t="s">
        <v>16</v>
      </c>
      <c r="B150" t="s">
        <v>3428</v>
      </c>
      <c r="C150" t="s">
        <v>3429</v>
      </c>
      <c r="D150" t="s">
        <v>3439</v>
      </c>
      <c r="E150" t="s">
        <v>3440</v>
      </c>
      <c r="F150" t="s">
        <v>3064</v>
      </c>
      <c r="G150" t="s">
        <v>3441</v>
      </c>
    </row>
    <row r="151" ht="11.25" customHeight="1">
      <c r="A151" t="s">
        <v>16</v>
      </c>
      <c r="B151" t="s">
        <v>3428</v>
      </c>
      <c r="C151" t="s">
        <v>3429</v>
      </c>
      <c r="D151" t="s">
        <v>3442</v>
      </c>
      <c r="E151" t="s">
        <v>3443</v>
      </c>
      <c r="F151" t="s">
        <v>3064</v>
      </c>
      <c r="G151" t="s">
        <v>3444</v>
      </c>
    </row>
    <row r="152" ht="11.25" customHeight="1">
      <c r="A152" t="s">
        <v>16</v>
      </c>
      <c r="B152" t="s">
        <v>3428</v>
      </c>
      <c r="C152" t="s">
        <v>3429</v>
      </c>
      <c r="D152" t="s">
        <v>3445</v>
      </c>
      <c r="E152" t="s">
        <v>3446</v>
      </c>
      <c r="F152" t="s">
        <v>3064</v>
      </c>
      <c r="G152" t="s">
        <v>3447</v>
      </c>
    </row>
    <row r="153" ht="11.25" customHeight="1">
      <c r="A153" t="s">
        <v>16</v>
      </c>
      <c r="B153" t="s">
        <v>3428</v>
      </c>
      <c r="C153" t="s">
        <v>3429</v>
      </c>
      <c r="D153" t="s">
        <v>3448</v>
      </c>
      <c r="E153" t="s">
        <v>3449</v>
      </c>
      <c r="F153" t="s">
        <v>3064</v>
      </c>
      <c r="G153" t="s">
        <v>3450</v>
      </c>
    </row>
    <row r="154" ht="11.25" customHeight="1">
      <c r="A154" t="s">
        <v>16</v>
      </c>
      <c r="B154" t="s">
        <v>3428</v>
      </c>
      <c r="C154" t="s">
        <v>3429</v>
      </c>
      <c r="D154" t="s">
        <v>3451</v>
      </c>
      <c r="E154" t="s">
        <v>3452</v>
      </c>
      <c r="F154" t="s">
        <v>3064</v>
      </c>
      <c r="G154" t="s">
        <v>3453</v>
      </c>
    </row>
    <row r="155" ht="11.25" customHeight="1">
      <c r="A155" t="s">
        <v>16</v>
      </c>
      <c r="B155" t="s">
        <v>3428</v>
      </c>
      <c r="C155" t="s">
        <v>3429</v>
      </c>
      <c r="D155" t="s">
        <v>3454</v>
      </c>
      <c r="E155" t="s">
        <v>3455</v>
      </c>
      <c r="F155" t="s">
        <v>3064</v>
      </c>
      <c r="G155" t="s">
        <v>3456</v>
      </c>
    </row>
    <row r="156" ht="11.25" customHeight="1">
      <c r="A156" t="s">
        <v>16</v>
      </c>
      <c r="B156" t="s">
        <v>3428</v>
      </c>
      <c r="C156" t="s">
        <v>3429</v>
      </c>
      <c r="D156" t="s">
        <v>3428</v>
      </c>
      <c r="E156" t="s">
        <v>3429</v>
      </c>
      <c r="F156" t="s">
        <v>3058</v>
      </c>
      <c r="G156" t="s">
        <v>3457</v>
      </c>
    </row>
    <row r="157" ht="11.25" customHeight="1">
      <c r="A157" t="s">
        <v>16</v>
      </c>
      <c r="B157" t="s">
        <v>3428</v>
      </c>
      <c r="C157" t="s">
        <v>3429</v>
      </c>
      <c r="D157" t="s">
        <v>3458</v>
      </c>
      <c r="E157" t="s">
        <v>3459</v>
      </c>
      <c r="F157" t="s">
        <v>3218</v>
      </c>
      <c r="G157" t="s">
        <v>3460</v>
      </c>
    </row>
    <row r="158" ht="11.25" customHeight="1">
      <c r="A158" t="s">
        <v>16</v>
      </c>
      <c r="B158" t="s">
        <v>3428</v>
      </c>
      <c r="C158" t="s">
        <v>3429</v>
      </c>
      <c r="D158" t="s">
        <v>3461</v>
      </c>
      <c r="E158" t="s">
        <v>3462</v>
      </c>
      <c r="F158" t="s">
        <v>3064</v>
      </c>
      <c r="G158" t="s">
        <v>3463</v>
      </c>
    </row>
    <row r="159" ht="11.25" customHeight="1">
      <c r="A159" t="s">
        <v>16</v>
      </c>
      <c r="B159" t="s">
        <v>3428</v>
      </c>
      <c r="C159" t="s">
        <v>3429</v>
      </c>
      <c r="D159" t="s">
        <v>3464</v>
      </c>
      <c r="E159" t="s">
        <v>3465</v>
      </c>
      <c r="F159" t="s">
        <v>3064</v>
      </c>
      <c r="G159" t="s">
        <v>3466</v>
      </c>
    </row>
    <row r="160" ht="11.25" customHeight="1">
      <c r="A160" t="s">
        <v>16</v>
      </c>
      <c r="B160" t="s">
        <v>3428</v>
      </c>
      <c r="C160" t="s">
        <v>3429</v>
      </c>
      <c r="D160" t="s">
        <v>3467</v>
      </c>
      <c r="E160" t="s">
        <v>3468</v>
      </c>
      <c r="F160" t="s">
        <v>3064</v>
      </c>
      <c r="G160" t="s">
        <v>3469</v>
      </c>
    </row>
    <row r="161" ht="11.25" customHeight="1">
      <c r="A161" t="s">
        <v>16</v>
      </c>
      <c r="B161" t="s">
        <v>3470</v>
      </c>
      <c r="C161" t="s">
        <v>3471</v>
      </c>
      <c r="D161" t="s">
        <v>3470</v>
      </c>
      <c r="E161" t="s">
        <v>3471</v>
      </c>
      <c r="F161" t="s">
        <v>3055</v>
      </c>
      <c r="G161" t="s">
        <v>3472</v>
      </c>
    </row>
    <row r="162" ht="11.25" customHeight="1">
      <c r="A162" t="s">
        <v>16</v>
      </c>
      <c r="B162" t="s">
        <v>3473</v>
      </c>
      <c r="C162" t="s">
        <v>3474</v>
      </c>
      <c r="D162" t="s">
        <v>3430</v>
      </c>
      <c r="E162" t="s">
        <v>3475</v>
      </c>
      <c r="F162" t="s">
        <v>3064</v>
      </c>
      <c r="G162" t="s">
        <v>3476</v>
      </c>
    </row>
    <row r="163" ht="11.25" customHeight="1">
      <c r="A163" t="s">
        <v>16</v>
      </c>
      <c r="B163" t="s">
        <v>3473</v>
      </c>
      <c r="C163" t="s">
        <v>3474</v>
      </c>
      <c r="D163" t="s">
        <v>3477</v>
      </c>
      <c r="E163" t="s">
        <v>3478</v>
      </c>
      <c r="F163" t="s">
        <v>3064</v>
      </c>
      <c r="G163" t="s">
        <v>3479</v>
      </c>
    </row>
    <row r="164" ht="11.25" customHeight="1">
      <c r="A164" t="s">
        <v>16</v>
      </c>
      <c r="B164" t="s">
        <v>3473</v>
      </c>
      <c r="C164" t="s">
        <v>3474</v>
      </c>
      <c r="D164" t="s">
        <v>3480</v>
      </c>
      <c r="E164" t="s">
        <v>3481</v>
      </c>
      <c r="F164" t="s">
        <v>3064</v>
      </c>
      <c r="G164" t="s">
        <v>3482</v>
      </c>
    </row>
    <row r="165" ht="11.25" customHeight="1">
      <c r="A165" t="s">
        <v>16</v>
      </c>
      <c r="B165" t="s">
        <v>3473</v>
      </c>
      <c r="C165" t="s">
        <v>3474</v>
      </c>
      <c r="D165" t="s">
        <v>3483</v>
      </c>
      <c r="E165" t="s">
        <v>3484</v>
      </c>
      <c r="F165" t="s">
        <v>3064</v>
      </c>
      <c r="G165" t="s">
        <v>3485</v>
      </c>
    </row>
    <row r="166" ht="11.25" customHeight="1">
      <c r="A166" t="s">
        <v>16</v>
      </c>
      <c r="B166" t="s">
        <v>3473</v>
      </c>
      <c r="C166" t="s">
        <v>3474</v>
      </c>
      <c r="D166" t="s">
        <v>3486</v>
      </c>
      <c r="E166" t="s">
        <v>3487</v>
      </c>
      <c r="F166" t="s">
        <v>3064</v>
      </c>
      <c r="G166" t="s">
        <v>3488</v>
      </c>
    </row>
    <row r="167" ht="11.25" customHeight="1">
      <c r="A167" t="s">
        <v>16</v>
      </c>
      <c r="B167" t="s">
        <v>3473</v>
      </c>
      <c r="C167" t="s">
        <v>3474</v>
      </c>
      <c r="D167" t="s">
        <v>3473</v>
      </c>
      <c r="E167" t="s">
        <v>3474</v>
      </c>
      <c r="F167" t="s">
        <v>3058</v>
      </c>
      <c r="G167" t="s">
        <v>3489</v>
      </c>
    </row>
    <row r="168" ht="11.25" customHeight="1">
      <c r="A168" t="s">
        <v>16</v>
      </c>
      <c r="B168" t="s">
        <v>3473</v>
      </c>
      <c r="C168" t="s">
        <v>3474</v>
      </c>
      <c r="D168" t="s">
        <v>3490</v>
      </c>
      <c r="E168" t="s">
        <v>3491</v>
      </c>
      <c r="F168" t="s">
        <v>3218</v>
      </c>
      <c r="G168" t="s">
        <v>3492</v>
      </c>
    </row>
    <row r="169" ht="11.25" customHeight="1">
      <c r="A169" t="s">
        <v>16</v>
      </c>
      <c r="B169" t="s">
        <v>3493</v>
      </c>
      <c r="C169" t="s">
        <v>3494</v>
      </c>
      <c r="D169" t="s">
        <v>3493</v>
      </c>
      <c r="E169" t="s">
        <v>3494</v>
      </c>
      <c r="F169" t="s">
        <v>3055</v>
      </c>
      <c r="G169" t="s">
        <v>3495</v>
      </c>
    </row>
    <row r="170" ht="11.25" customHeight="1">
      <c r="A170" t="s">
        <v>16</v>
      </c>
      <c r="B170" t="s">
        <v>3496</v>
      </c>
      <c r="C170" t="s">
        <v>3497</v>
      </c>
      <c r="D170" t="s">
        <v>3498</v>
      </c>
      <c r="E170" t="s">
        <v>3499</v>
      </c>
      <c r="F170" t="s">
        <v>3064</v>
      </c>
      <c r="G170" t="s">
        <v>3500</v>
      </c>
    </row>
    <row r="171" ht="11.25" customHeight="1">
      <c r="A171" t="s">
        <v>16</v>
      </c>
      <c r="B171" t="s">
        <v>3496</v>
      </c>
      <c r="C171" t="s">
        <v>3497</v>
      </c>
      <c r="D171" t="s">
        <v>3501</v>
      </c>
      <c r="E171" t="s">
        <v>3502</v>
      </c>
      <c r="F171" t="s">
        <v>3064</v>
      </c>
      <c r="G171" t="s">
        <v>3503</v>
      </c>
    </row>
    <row r="172" ht="11.25" customHeight="1">
      <c r="A172" t="s">
        <v>16</v>
      </c>
      <c r="B172" t="s">
        <v>3496</v>
      </c>
      <c r="C172" t="s">
        <v>3497</v>
      </c>
      <c r="D172" t="s">
        <v>3504</v>
      </c>
      <c r="E172" t="s">
        <v>3505</v>
      </c>
      <c r="F172" t="s">
        <v>3064</v>
      </c>
      <c r="G172" t="s">
        <v>3506</v>
      </c>
    </row>
    <row r="173" ht="11.25" customHeight="1">
      <c r="A173" t="s">
        <v>16</v>
      </c>
      <c r="B173" t="s">
        <v>3496</v>
      </c>
      <c r="C173" t="s">
        <v>3497</v>
      </c>
      <c r="D173" t="s">
        <v>3507</v>
      </c>
      <c r="E173" t="s">
        <v>3508</v>
      </c>
      <c r="F173" t="s">
        <v>3064</v>
      </c>
      <c r="G173" t="s">
        <v>3509</v>
      </c>
    </row>
    <row r="174" ht="11.25" customHeight="1">
      <c r="A174" t="s">
        <v>16</v>
      </c>
      <c r="B174" t="s">
        <v>3496</v>
      </c>
      <c r="C174" t="s">
        <v>3497</v>
      </c>
      <c r="D174" t="s">
        <v>3510</v>
      </c>
      <c r="E174" t="s">
        <v>3511</v>
      </c>
      <c r="F174" t="s">
        <v>3064</v>
      </c>
      <c r="G174" t="s">
        <v>3512</v>
      </c>
    </row>
    <row r="175" ht="11.25" customHeight="1">
      <c r="A175" t="s">
        <v>16</v>
      </c>
      <c r="B175" t="s">
        <v>3496</v>
      </c>
      <c r="C175" t="s">
        <v>3497</v>
      </c>
      <c r="D175" t="s">
        <v>3513</v>
      </c>
      <c r="E175" t="s">
        <v>3514</v>
      </c>
      <c r="F175" t="s">
        <v>3064</v>
      </c>
      <c r="G175" t="s">
        <v>3515</v>
      </c>
    </row>
    <row r="176" ht="11.25" customHeight="1">
      <c r="A176" t="s">
        <v>16</v>
      </c>
      <c r="B176" t="s">
        <v>3496</v>
      </c>
      <c r="C176" t="s">
        <v>3497</v>
      </c>
      <c r="D176" t="s">
        <v>3516</v>
      </c>
      <c r="E176" t="s">
        <v>3517</v>
      </c>
      <c r="F176" t="s">
        <v>3064</v>
      </c>
      <c r="G176" t="s">
        <v>3518</v>
      </c>
    </row>
    <row r="177" ht="11.25" customHeight="1">
      <c r="A177" t="s">
        <v>16</v>
      </c>
      <c r="B177" t="s">
        <v>3496</v>
      </c>
      <c r="C177" t="s">
        <v>3497</v>
      </c>
      <c r="D177" t="s">
        <v>3519</v>
      </c>
      <c r="E177" t="s">
        <v>3520</v>
      </c>
      <c r="F177" t="s">
        <v>3064</v>
      </c>
      <c r="G177" t="s">
        <v>3521</v>
      </c>
    </row>
    <row r="178" ht="11.25" customHeight="1">
      <c r="A178" t="s">
        <v>16</v>
      </c>
      <c r="B178" t="s">
        <v>3496</v>
      </c>
      <c r="C178" t="s">
        <v>3497</v>
      </c>
      <c r="D178" t="s">
        <v>3522</v>
      </c>
      <c r="E178" t="s">
        <v>3523</v>
      </c>
      <c r="F178" t="s">
        <v>3064</v>
      </c>
      <c r="G178" t="s">
        <v>3524</v>
      </c>
    </row>
    <row r="179" ht="11.25" customHeight="1">
      <c r="A179" t="s">
        <v>16</v>
      </c>
      <c r="B179" t="s">
        <v>3496</v>
      </c>
      <c r="C179" t="s">
        <v>3497</v>
      </c>
      <c r="D179" t="s">
        <v>3525</v>
      </c>
      <c r="E179" t="s">
        <v>3526</v>
      </c>
      <c r="F179" t="s">
        <v>3064</v>
      </c>
      <c r="G179" t="s">
        <v>3527</v>
      </c>
    </row>
    <row r="180" ht="11.25" customHeight="1">
      <c r="A180" t="s">
        <v>16</v>
      </c>
      <c r="B180" t="s">
        <v>3496</v>
      </c>
      <c r="C180" t="s">
        <v>3497</v>
      </c>
      <c r="D180" t="s">
        <v>3528</v>
      </c>
      <c r="E180" t="s">
        <v>3529</v>
      </c>
      <c r="F180" t="s">
        <v>3064</v>
      </c>
      <c r="G180" t="s">
        <v>3530</v>
      </c>
    </row>
    <row r="181" ht="11.25" customHeight="1">
      <c r="A181" t="s">
        <v>16</v>
      </c>
      <c r="B181" t="s">
        <v>3496</v>
      </c>
      <c r="C181" t="s">
        <v>3497</v>
      </c>
      <c r="D181" t="s">
        <v>3531</v>
      </c>
      <c r="E181" t="s">
        <v>3532</v>
      </c>
      <c r="F181" t="s">
        <v>3064</v>
      </c>
      <c r="G181" t="s">
        <v>3533</v>
      </c>
    </row>
    <row r="182" ht="11.25" customHeight="1">
      <c r="A182" t="s">
        <v>16</v>
      </c>
      <c r="B182" t="s">
        <v>3496</v>
      </c>
      <c r="C182" t="s">
        <v>3497</v>
      </c>
      <c r="D182" t="s">
        <v>3534</v>
      </c>
      <c r="E182" t="s">
        <v>3535</v>
      </c>
      <c r="F182" t="s">
        <v>3064</v>
      </c>
      <c r="G182" t="s">
        <v>3536</v>
      </c>
    </row>
    <row r="183" ht="11.25" customHeight="1">
      <c r="A183" t="s">
        <v>16</v>
      </c>
      <c r="B183" t="s">
        <v>3496</v>
      </c>
      <c r="C183" t="s">
        <v>3497</v>
      </c>
      <c r="D183" t="s">
        <v>3537</v>
      </c>
      <c r="E183" t="s">
        <v>3538</v>
      </c>
      <c r="F183" t="s">
        <v>3064</v>
      </c>
      <c r="G183" t="s">
        <v>3539</v>
      </c>
    </row>
    <row r="184" ht="11.25" customHeight="1">
      <c r="A184" t="s">
        <v>16</v>
      </c>
      <c r="B184" t="s">
        <v>3496</v>
      </c>
      <c r="C184" t="s">
        <v>3497</v>
      </c>
      <c r="D184" t="s">
        <v>3540</v>
      </c>
      <c r="E184" t="s">
        <v>3541</v>
      </c>
      <c r="F184" t="s">
        <v>3064</v>
      </c>
      <c r="G184" t="s">
        <v>3542</v>
      </c>
    </row>
    <row r="185" ht="11.25" customHeight="1">
      <c r="A185" t="s">
        <v>16</v>
      </c>
      <c r="B185" t="s">
        <v>3496</v>
      </c>
      <c r="C185" t="s">
        <v>3497</v>
      </c>
      <c r="D185" t="s">
        <v>3496</v>
      </c>
      <c r="E185" t="s">
        <v>3497</v>
      </c>
      <c r="F185" t="s">
        <v>3058</v>
      </c>
      <c r="G185" t="s">
        <v>3543</v>
      </c>
    </row>
    <row r="186" ht="11.25" customHeight="1">
      <c r="A186" t="s">
        <v>16</v>
      </c>
      <c r="B186" t="s">
        <v>3496</v>
      </c>
      <c r="C186" t="s">
        <v>3497</v>
      </c>
      <c r="D186" t="s">
        <v>3544</v>
      </c>
      <c r="E186" t="s">
        <v>3545</v>
      </c>
      <c r="F186" t="s">
        <v>3064</v>
      </c>
      <c r="G186" t="s">
        <v>3546</v>
      </c>
    </row>
    <row r="187" ht="11.25" customHeight="1">
      <c r="A187" t="s">
        <v>16</v>
      </c>
      <c r="B187" t="s">
        <v>3496</v>
      </c>
      <c r="C187" t="s">
        <v>3497</v>
      </c>
      <c r="D187" t="s">
        <v>3547</v>
      </c>
      <c r="E187" t="s">
        <v>3548</v>
      </c>
      <c r="F187" t="s">
        <v>3064</v>
      </c>
      <c r="G187" t="s">
        <v>3549</v>
      </c>
    </row>
    <row r="188" ht="11.25" customHeight="1">
      <c r="A188" t="s">
        <v>16</v>
      </c>
      <c r="B188" t="s">
        <v>3496</v>
      </c>
      <c r="C188" t="s">
        <v>3497</v>
      </c>
      <c r="D188" t="s">
        <v>3550</v>
      </c>
      <c r="E188" t="s">
        <v>3551</v>
      </c>
      <c r="F188" t="s">
        <v>3064</v>
      </c>
      <c r="G188" t="s">
        <v>3552</v>
      </c>
    </row>
    <row r="189" ht="11.25" customHeight="1">
      <c r="A189" t="s">
        <v>16</v>
      </c>
      <c r="B189" t="s">
        <v>3553</v>
      </c>
      <c r="C189" t="s">
        <v>3554</v>
      </c>
      <c r="D189" t="s">
        <v>3553</v>
      </c>
      <c r="E189" t="s">
        <v>3554</v>
      </c>
      <c r="F189" t="s">
        <v>3055</v>
      </c>
      <c r="G189" t="s">
        <v>3555</v>
      </c>
    </row>
    <row r="190" ht="11.25" customHeight="1">
      <c r="A190" t="s">
        <v>16</v>
      </c>
      <c r="B190" t="s">
        <v>3556</v>
      </c>
      <c r="C190" t="s">
        <v>3557</v>
      </c>
      <c r="D190" t="s">
        <v>3558</v>
      </c>
      <c r="E190" t="s">
        <v>3559</v>
      </c>
      <c r="F190" t="s">
        <v>3064</v>
      </c>
      <c r="G190" t="s">
        <v>3560</v>
      </c>
    </row>
    <row r="191" ht="11.25" customHeight="1">
      <c r="A191" t="s">
        <v>16</v>
      </c>
      <c r="B191" t="s">
        <v>3556</v>
      </c>
      <c r="C191" t="s">
        <v>3557</v>
      </c>
      <c r="D191" t="s">
        <v>3561</v>
      </c>
      <c r="E191" t="s">
        <v>3562</v>
      </c>
      <c r="F191" t="s">
        <v>3064</v>
      </c>
      <c r="G191" t="s">
        <v>3563</v>
      </c>
    </row>
    <row r="192" ht="11.25" customHeight="1">
      <c r="A192" t="s">
        <v>16</v>
      </c>
      <c r="B192" t="s">
        <v>3556</v>
      </c>
      <c r="C192" t="s">
        <v>3557</v>
      </c>
      <c r="D192" t="s">
        <v>3564</v>
      </c>
      <c r="E192" t="s">
        <v>3565</v>
      </c>
      <c r="F192" t="s">
        <v>3064</v>
      </c>
      <c r="G192" t="s">
        <v>3566</v>
      </c>
    </row>
    <row r="193" ht="11.25" customHeight="1">
      <c r="A193" t="s">
        <v>16</v>
      </c>
      <c r="B193" t="s">
        <v>3556</v>
      </c>
      <c r="C193" t="s">
        <v>3557</v>
      </c>
      <c r="D193" t="s">
        <v>3567</v>
      </c>
      <c r="E193" t="s">
        <v>3568</v>
      </c>
      <c r="F193" t="s">
        <v>3064</v>
      </c>
      <c r="G193" t="s">
        <v>3569</v>
      </c>
    </row>
    <row r="194" ht="11.25" customHeight="1">
      <c r="A194" t="s">
        <v>16</v>
      </c>
      <c r="B194" t="s">
        <v>3556</v>
      </c>
      <c r="C194" t="s">
        <v>3557</v>
      </c>
      <c r="D194" t="s">
        <v>3556</v>
      </c>
      <c r="E194" t="s">
        <v>3557</v>
      </c>
      <c r="F194" t="s">
        <v>3058</v>
      </c>
      <c r="G194" t="s">
        <v>3570</v>
      </c>
    </row>
    <row r="195" ht="11.25" customHeight="1">
      <c r="A195" t="s">
        <v>16</v>
      </c>
      <c r="B195" t="s">
        <v>3556</v>
      </c>
      <c r="C195" t="s">
        <v>3557</v>
      </c>
      <c r="D195" t="s">
        <v>3571</v>
      </c>
      <c r="E195" t="s">
        <v>3572</v>
      </c>
      <c r="F195" t="s">
        <v>3061</v>
      </c>
      <c r="G195" t="s">
        <v>3573</v>
      </c>
    </row>
    <row r="196" ht="11.25" customHeight="1">
      <c r="A196" t="s">
        <v>16</v>
      </c>
      <c r="B196" t="s">
        <v>3574</v>
      </c>
      <c r="C196" t="s">
        <v>3575</v>
      </c>
      <c r="D196" t="s">
        <v>3574</v>
      </c>
      <c r="E196" t="s">
        <v>3575</v>
      </c>
      <c r="F196" t="s">
        <v>3055</v>
      </c>
      <c r="G196" t="s">
        <v>3576</v>
      </c>
    </row>
    <row r="197" ht="11.25" customHeight="1">
      <c r="A197" t="s">
        <v>16</v>
      </c>
      <c r="B197" t="s">
        <v>3577</v>
      </c>
      <c r="C197" t="s">
        <v>3578</v>
      </c>
      <c r="D197" t="s">
        <v>3190</v>
      </c>
      <c r="E197" t="s">
        <v>3579</v>
      </c>
      <c r="F197" t="s">
        <v>3064</v>
      </c>
      <c r="G197" t="s">
        <v>3580</v>
      </c>
    </row>
    <row r="198" ht="11.25" customHeight="1">
      <c r="A198" t="s">
        <v>16</v>
      </c>
      <c r="B198" t="s">
        <v>3577</v>
      </c>
      <c r="C198" t="s">
        <v>3578</v>
      </c>
      <c r="D198" t="s">
        <v>3581</v>
      </c>
      <c r="E198" t="s">
        <v>3582</v>
      </c>
      <c r="F198" t="s">
        <v>3064</v>
      </c>
      <c r="G198" t="s">
        <v>3583</v>
      </c>
    </row>
    <row r="199" ht="11.25" customHeight="1">
      <c r="A199" t="s">
        <v>16</v>
      </c>
      <c r="B199" t="s">
        <v>3577</v>
      </c>
      <c r="C199" t="s">
        <v>3578</v>
      </c>
      <c r="D199" t="s">
        <v>3584</v>
      </c>
      <c r="E199" t="s">
        <v>3585</v>
      </c>
      <c r="F199" t="s">
        <v>3064</v>
      </c>
      <c r="G199" t="s">
        <v>3586</v>
      </c>
    </row>
    <row r="200" ht="11.25" customHeight="1">
      <c r="A200" t="s">
        <v>16</v>
      </c>
      <c r="B200" t="s">
        <v>3577</v>
      </c>
      <c r="C200" t="s">
        <v>3578</v>
      </c>
      <c r="D200" t="s">
        <v>3501</v>
      </c>
      <c r="E200" t="s">
        <v>3587</v>
      </c>
      <c r="F200" t="s">
        <v>3064</v>
      </c>
      <c r="G200" t="s">
        <v>3588</v>
      </c>
    </row>
    <row r="201" ht="11.25" customHeight="1">
      <c r="A201" t="s">
        <v>16</v>
      </c>
      <c r="B201" t="s">
        <v>3577</v>
      </c>
      <c r="C201" t="s">
        <v>3578</v>
      </c>
      <c r="D201" t="s">
        <v>3589</v>
      </c>
      <c r="E201" t="s">
        <v>3590</v>
      </c>
      <c r="F201" t="s">
        <v>3064</v>
      </c>
      <c r="G201" t="s">
        <v>3591</v>
      </c>
    </row>
    <row r="202" ht="11.25" customHeight="1">
      <c r="A202" t="s">
        <v>16</v>
      </c>
      <c r="B202" t="s">
        <v>3577</v>
      </c>
      <c r="C202" t="s">
        <v>3578</v>
      </c>
      <c r="D202" t="s">
        <v>3592</v>
      </c>
      <c r="E202" t="s">
        <v>3593</v>
      </c>
      <c r="F202" t="s">
        <v>3064</v>
      </c>
      <c r="G202" t="s">
        <v>3594</v>
      </c>
    </row>
    <row r="203" ht="11.25" customHeight="1">
      <c r="A203" t="s">
        <v>16</v>
      </c>
      <c r="B203" t="s">
        <v>3577</v>
      </c>
      <c r="C203" t="s">
        <v>3578</v>
      </c>
      <c r="D203" t="s">
        <v>3595</v>
      </c>
      <c r="E203" t="s">
        <v>3596</v>
      </c>
      <c r="F203" t="s">
        <v>3064</v>
      </c>
      <c r="G203" t="s">
        <v>3597</v>
      </c>
    </row>
    <row r="204" ht="11.25" customHeight="1">
      <c r="A204" t="s">
        <v>16</v>
      </c>
      <c r="B204" t="s">
        <v>3577</v>
      </c>
      <c r="C204" t="s">
        <v>3578</v>
      </c>
      <c r="D204" t="s">
        <v>3598</v>
      </c>
      <c r="E204" t="s">
        <v>3599</v>
      </c>
      <c r="F204" t="s">
        <v>3064</v>
      </c>
      <c r="G204" t="s">
        <v>3600</v>
      </c>
    </row>
    <row r="205" ht="11.25" customHeight="1">
      <c r="A205" t="s">
        <v>16</v>
      </c>
      <c r="B205" t="s">
        <v>3577</v>
      </c>
      <c r="C205" t="s">
        <v>3578</v>
      </c>
      <c r="D205" t="s">
        <v>3601</v>
      </c>
      <c r="E205" t="s">
        <v>3602</v>
      </c>
      <c r="F205" t="s">
        <v>3064</v>
      </c>
      <c r="G205" t="s">
        <v>3603</v>
      </c>
    </row>
    <row r="206" ht="11.25" customHeight="1">
      <c r="A206" t="s">
        <v>16</v>
      </c>
      <c r="B206" t="s">
        <v>3577</v>
      </c>
      <c r="C206" t="s">
        <v>3578</v>
      </c>
      <c r="D206" t="s">
        <v>3604</v>
      </c>
      <c r="E206" t="s">
        <v>3605</v>
      </c>
      <c r="F206" t="s">
        <v>3064</v>
      </c>
      <c r="G206" t="s">
        <v>3606</v>
      </c>
    </row>
    <row r="207" ht="11.25" customHeight="1">
      <c r="A207" t="s">
        <v>16</v>
      </c>
      <c r="B207" t="s">
        <v>3577</v>
      </c>
      <c r="C207" t="s">
        <v>3578</v>
      </c>
      <c r="D207" t="s">
        <v>3577</v>
      </c>
      <c r="E207" t="s">
        <v>3578</v>
      </c>
      <c r="F207" t="s">
        <v>3058</v>
      </c>
      <c r="G207" t="s">
        <v>3607</v>
      </c>
    </row>
    <row r="208" ht="11.25" customHeight="1">
      <c r="A208" t="s">
        <v>16</v>
      </c>
      <c r="B208" t="s">
        <v>3577</v>
      </c>
      <c r="C208" t="s">
        <v>3578</v>
      </c>
      <c r="D208" t="s">
        <v>3608</v>
      </c>
      <c r="E208" t="s">
        <v>3609</v>
      </c>
      <c r="F208" t="s">
        <v>3061</v>
      </c>
      <c r="G208" t="s">
        <v>3610</v>
      </c>
    </row>
    <row r="209" ht="11.25" customHeight="1">
      <c r="A209" t="s">
        <v>16</v>
      </c>
      <c r="B209" t="s">
        <v>3577</v>
      </c>
      <c r="C209" t="s">
        <v>3578</v>
      </c>
      <c r="D209" t="s">
        <v>3611</v>
      </c>
      <c r="E209" t="s">
        <v>3612</v>
      </c>
      <c r="F209" t="s">
        <v>3064</v>
      </c>
      <c r="G209" t="s">
        <v>3613</v>
      </c>
    </row>
    <row r="210" ht="11.25" customHeight="1">
      <c r="A210" t="s">
        <v>16</v>
      </c>
      <c r="B210" t="s">
        <v>3577</v>
      </c>
      <c r="C210" t="s">
        <v>3578</v>
      </c>
      <c r="D210" t="s">
        <v>3614</v>
      </c>
      <c r="E210" t="s">
        <v>3615</v>
      </c>
      <c r="F210" t="s">
        <v>3064</v>
      </c>
      <c r="G210" t="s">
        <v>3616</v>
      </c>
    </row>
    <row r="211" ht="11.25" customHeight="1">
      <c r="A211" t="s">
        <v>16</v>
      </c>
      <c r="B211" t="s">
        <v>3577</v>
      </c>
      <c r="C211" t="s">
        <v>3578</v>
      </c>
      <c r="D211" t="s">
        <v>3617</v>
      </c>
      <c r="E211" t="s">
        <v>3618</v>
      </c>
      <c r="F211" t="s">
        <v>3064</v>
      </c>
      <c r="G211" t="s">
        <v>3619</v>
      </c>
    </row>
    <row r="212" ht="11.25" customHeight="1">
      <c r="A212" t="s">
        <v>16</v>
      </c>
      <c r="B212" t="s">
        <v>3620</v>
      </c>
      <c r="C212" t="s">
        <v>3621</v>
      </c>
      <c r="D212" t="s">
        <v>3620</v>
      </c>
      <c r="E212" t="s">
        <v>3621</v>
      </c>
      <c r="F212" t="s">
        <v>3055</v>
      </c>
      <c r="G212" t="s">
        <v>3622</v>
      </c>
    </row>
    <row r="213" ht="11.25" customHeight="1">
      <c r="A213" t="s">
        <v>16</v>
      </c>
      <c r="B213" t="s">
        <v>3623</v>
      </c>
      <c r="C213" t="s">
        <v>3624</v>
      </c>
      <c r="D213" t="s">
        <v>3625</v>
      </c>
      <c r="E213" t="s">
        <v>3626</v>
      </c>
      <c r="F213" t="s">
        <v>3064</v>
      </c>
      <c r="G213" t="s">
        <v>3627</v>
      </c>
    </row>
    <row r="214" ht="11.25" customHeight="1">
      <c r="A214" t="s">
        <v>16</v>
      </c>
      <c r="B214" t="s">
        <v>3623</v>
      </c>
      <c r="C214" t="s">
        <v>3624</v>
      </c>
      <c r="D214" t="s">
        <v>3430</v>
      </c>
      <c r="E214" t="s">
        <v>3628</v>
      </c>
      <c r="F214" t="s">
        <v>3064</v>
      </c>
      <c r="G214" t="s">
        <v>3629</v>
      </c>
    </row>
    <row r="215" ht="11.25" customHeight="1">
      <c r="A215" t="s">
        <v>16</v>
      </c>
      <c r="B215" t="s">
        <v>3623</v>
      </c>
      <c r="C215" t="s">
        <v>3624</v>
      </c>
      <c r="D215" t="s">
        <v>3630</v>
      </c>
      <c r="E215" t="s">
        <v>3631</v>
      </c>
      <c r="F215" t="s">
        <v>3064</v>
      </c>
      <c r="G215" t="s">
        <v>3632</v>
      </c>
    </row>
    <row r="216" ht="11.25" customHeight="1">
      <c r="A216" t="s">
        <v>16</v>
      </c>
      <c r="B216" t="s">
        <v>3623</v>
      </c>
      <c r="C216" t="s">
        <v>3624</v>
      </c>
      <c r="D216" t="s">
        <v>3633</v>
      </c>
      <c r="E216" t="s">
        <v>3634</v>
      </c>
      <c r="F216" t="s">
        <v>3064</v>
      </c>
      <c r="G216" t="s">
        <v>3635</v>
      </c>
    </row>
    <row r="217" ht="11.25" customHeight="1">
      <c r="A217" t="s">
        <v>16</v>
      </c>
      <c r="B217" t="s">
        <v>3623</v>
      </c>
      <c r="C217" t="s">
        <v>3624</v>
      </c>
      <c r="D217" t="s">
        <v>3636</v>
      </c>
      <c r="E217" t="s">
        <v>3637</v>
      </c>
      <c r="F217" t="s">
        <v>3064</v>
      </c>
      <c r="G217" t="s">
        <v>3638</v>
      </c>
    </row>
    <row r="218" ht="11.25" customHeight="1">
      <c r="A218" t="s">
        <v>16</v>
      </c>
      <c r="B218" t="s">
        <v>3623</v>
      </c>
      <c r="C218" t="s">
        <v>3624</v>
      </c>
      <c r="D218" t="s">
        <v>3639</v>
      </c>
      <c r="E218" t="s">
        <v>3640</v>
      </c>
      <c r="F218" t="s">
        <v>3064</v>
      </c>
      <c r="G218" t="s">
        <v>3641</v>
      </c>
    </row>
    <row r="219" ht="11.25" customHeight="1">
      <c r="A219" t="s">
        <v>16</v>
      </c>
      <c r="B219" t="s">
        <v>3623</v>
      </c>
      <c r="C219" t="s">
        <v>3624</v>
      </c>
      <c r="D219" t="s">
        <v>3642</v>
      </c>
      <c r="E219" t="s">
        <v>3643</v>
      </c>
      <c r="F219" t="s">
        <v>3064</v>
      </c>
      <c r="G219" t="s">
        <v>3644</v>
      </c>
    </row>
    <row r="220" ht="11.25" customHeight="1">
      <c r="A220" t="s">
        <v>16</v>
      </c>
      <c r="B220" t="s">
        <v>3623</v>
      </c>
      <c r="C220" t="s">
        <v>3624</v>
      </c>
      <c r="D220" t="s">
        <v>3645</v>
      </c>
      <c r="E220" t="s">
        <v>3646</v>
      </c>
      <c r="F220" t="s">
        <v>3064</v>
      </c>
      <c r="G220" t="s">
        <v>3647</v>
      </c>
    </row>
    <row r="221" ht="11.25" customHeight="1">
      <c r="A221" t="s">
        <v>16</v>
      </c>
      <c r="B221" t="s">
        <v>3623</v>
      </c>
      <c r="C221" t="s">
        <v>3624</v>
      </c>
      <c r="D221" t="s">
        <v>3648</v>
      </c>
      <c r="E221" t="s">
        <v>3649</v>
      </c>
      <c r="F221" t="s">
        <v>3064</v>
      </c>
      <c r="G221" t="s">
        <v>3650</v>
      </c>
    </row>
    <row r="222" ht="11.25" customHeight="1">
      <c r="A222" t="s">
        <v>16</v>
      </c>
      <c r="B222" t="s">
        <v>3623</v>
      </c>
      <c r="C222" t="s">
        <v>3624</v>
      </c>
      <c r="D222" t="s">
        <v>3651</v>
      </c>
      <c r="E222" t="s">
        <v>3652</v>
      </c>
      <c r="F222" t="s">
        <v>3064</v>
      </c>
      <c r="G222" t="s">
        <v>3653</v>
      </c>
    </row>
    <row r="223" ht="11.25" customHeight="1">
      <c r="A223" t="s">
        <v>16</v>
      </c>
      <c r="B223" t="s">
        <v>3623</v>
      </c>
      <c r="C223" t="s">
        <v>3624</v>
      </c>
      <c r="D223" t="s">
        <v>3654</v>
      </c>
      <c r="E223" t="s">
        <v>3655</v>
      </c>
      <c r="F223" t="s">
        <v>3064</v>
      </c>
      <c r="G223" t="s">
        <v>3656</v>
      </c>
    </row>
    <row r="224" ht="11.25" customHeight="1">
      <c r="A224" t="s">
        <v>16</v>
      </c>
      <c r="B224" t="s">
        <v>3623</v>
      </c>
      <c r="C224" t="s">
        <v>3624</v>
      </c>
      <c r="D224" t="s">
        <v>3657</v>
      </c>
      <c r="E224" t="s">
        <v>3658</v>
      </c>
      <c r="F224" t="s">
        <v>3064</v>
      </c>
      <c r="G224" t="s">
        <v>3659</v>
      </c>
    </row>
    <row r="225" ht="11.25" customHeight="1">
      <c r="A225" t="s">
        <v>16</v>
      </c>
      <c r="B225" t="s">
        <v>3623</v>
      </c>
      <c r="C225" t="s">
        <v>3624</v>
      </c>
      <c r="D225" t="s">
        <v>3660</v>
      </c>
      <c r="E225" t="s">
        <v>3661</v>
      </c>
      <c r="F225" t="s">
        <v>3064</v>
      </c>
      <c r="G225" t="s">
        <v>3662</v>
      </c>
    </row>
    <row r="226" ht="11.25" customHeight="1">
      <c r="A226" t="s">
        <v>16</v>
      </c>
      <c r="B226" t="s">
        <v>3623</v>
      </c>
      <c r="C226" t="s">
        <v>3624</v>
      </c>
      <c r="D226" t="s">
        <v>3623</v>
      </c>
      <c r="E226" t="s">
        <v>3624</v>
      </c>
      <c r="F226" t="s">
        <v>3058</v>
      </c>
      <c r="G226" t="s">
        <v>3663</v>
      </c>
    </row>
    <row r="227" ht="11.25" customHeight="1">
      <c r="A227" t="s">
        <v>16</v>
      </c>
      <c r="B227" t="s">
        <v>3623</v>
      </c>
      <c r="C227" t="s">
        <v>3624</v>
      </c>
      <c r="D227" t="s">
        <v>3664</v>
      </c>
      <c r="E227" t="s">
        <v>3665</v>
      </c>
      <c r="F227" t="s">
        <v>3064</v>
      </c>
      <c r="G227" t="s">
        <v>3666</v>
      </c>
    </row>
    <row r="228" ht="11.25" customHeight="1">
      <c r="A228" t="s">
        <v>16</v>
      </c>
      <c r="B228" t="s">
        <v>3623</v>
      </c>
      <c r="C228" t="s">
        <v>3624</v>
      </c>
      <c r="D228" t="s">
        <v>3667</v>
      </c>
      <c r="E228" t="s">
        <v>3668</v>
      </c>
      <c r="F228" t="s">
        <v>3064</v>
      </c>
      <c r="G228" t="s">
        <v>3669</v>
      </c>
    </row>
    <row r="229" ht="11.25" customHeight="1">
      <c r="A229" t="s">
        <v>16</v>
      </c>
      <c r="B229" t="s">
        <v>3670</v>
      </c>
      <c r="C229" t="s">
        <v>3671</v>
      </c>
      <c r="D229" t="s">
        <v>3670</v>
      </c>
      <c r="E229" t="s">
        <v>3671</v>
      </c>
      <c r="F229" t="s">
        <v>3055</v>
      </c>
      <c r="G229" t="s">
        <v>3672</v>
      </c>
    </row>
    <row r="230" ht="11.25" customHeight="1">
      <c r="A230" t="s">
        <v>16</v>
      </c>
      <c r="B230" t="s">
        <v>3673</v>
      </c>
      <c r="C230" t="s">
        <v>3674</v>
      </c>
      <c r="D230" t="s">
        <v>3675</v>
      </c>
      <c r="E230" t="s">
        <v>3676</v>
      </c>
      <c r="F230" t="s">
        <v>3064</v>
      </c>
      <c r="G230" t="s">
        <v>3677</v>
      </c>
    </row>
    <row r="231" ht="11.25" customHeight="1">
      <c r="A231" t="s">
        <v>16</v>
      </c>
      <c r="B231" t="s">
        <v>3673</v>
      </c>
      <c r="C231" t="s">
        <v>3674</v>
      </c>
      <c r="D231" t="s">
        <v>3678</v>
      </c>
      <c r="E231" t="s">
        <v>3679</v>
      </c>
      <c r="F231" t="s">
        <v>3064</v>
      </c>
      <c r="G231" t="s">
        <v>3680</v>
      </c>
    </row>
    <row r="232" ht="11.25" customHeight="1">
      <c r="A232" t="s">
        <v>16</v>
      </c>
      <c r="B232" t="s">
        <v>3673</v>
      </c>
      <c r="C232" t="s">
        <v>3674</v>
      </c>
      <c r="D232" t="s">
        <v>3681</v>
      </c>
      <c r="E232" t="s">
        <v>3682</v>
      </c>
      <c r="F232" t="s">
        <v>3064</v>
      </c>
      <c r="G232" t="s">
        <v>3683</v>
      </c>
    </row>
    <row r="233" ht="11.25" customHeight="1">
      <c r="A233" t="s">
        <v>16</v>
      </c>
      <c r="B233" t="s">
        <v>3673</v>
      </c>
      <c r="C233" t="s">
        <v>3674</v>
      </c>
      <c r="D233" t="s">
        <v>3684</v>
      </c>
      <c r="E233" t="s">
        <v>3685</v>
      </c>
      <c r="F233" t="s">
        <v>3064</v>
      </c>
      <c r="G233" t="s">
        <v>3686</v>
      </c>
    </row>
    <row r="234" ht="11.25" customHeight="1">
      <c r="A234" t="s">
        <v>16</v>
      </c>
      <c r="B234" t="s">
        <v>3673</v>
      </c>
      <c r="C234" t="s">
        <v>3674</v>
      </c>
      <c r="D234" t="s">
        <v>3687</v>
      </c>
      <c r="E234" t="s">
        <v>3688</v>
      </c>
      <c r="F234" t="s">
        <v>3061</v>
      </c>
      <c r="G234" t="s">
        <v>3689</v>
      </c>
    </row>
    <row r="235" ht="11.25" customHeight="1">
      <c r="A235" t="s">
        <v>16</v>
      </c>
      <c r="B235" t="s">
        <v>3673</v>
      </c>
      <c r="C235" t="s">
        <v>3674</v>
      </c>
      <c r="D235" t="s">
        <v>3690</v>
      </c>
      <c r="E235" t="s">
        <v>3691</v>
      </c>
      <c r="F235" t="s">
        <v>3061</v>
      </c>
      <c r="G235" t="s">
        <v>3692</v>
      </c>
    </row>
    <row r="236" ht="11.25" customHeight="1">
      <c r="A236" t="s">
        <v>16</v>
      </c>
      <c r="B236" t="s">
        <v>3673</v>
      </c>
      <c r="C236" t="s">
        <v>3674</v>
      </c>
      <c r="D236" t="s">
        <v>3540</v>
      </c>
      <c r="E236" t="s">
        <v>3693</v>
      </c>
      <c r="F236" t="s">
        <v>3064</v>
      </c>
      <c r="G236" t="s">
        <v>3694</v>
      </c>
    </row>
    <row r="237" ht="11.25" customHeight="1">
      <c r="A237" t="s">
        <v>16</v>
      </c>
      <c r="B237" t="s">
        <v>3673</v>
      </c>
      <c r="C237" t="s">
        <v>3674</v>
      </c>
      <c r="D237" t="s">
        <v>3673</v>
      </c>
      <c r="E237" t="s">
        <v>3674</v>
      </c>
      <c r="F237" t="s">
        <v>3058</v>
      </c>
      <c r="G237" t="s">
        <v>3695</v>
      </c>
    </row>
    <row r="238" ht="11.25" customHeight="1">
      <c r="A238" t="s">
        <v>16</v>
      </c>
      <c r="B238" t="s">
        <v>3673</v>
      </c>
      <c r="C238" t="s">
        <v>3674</v>
      </c>
      <c r="D238" t="s">
        <v>3696</v>
      </c>
      <c r="E238" t="s">
        <v>3697</v>
      </c>
      <c r="F238" t="s">
        <v>3064</v>
      </c>
      <c r="G238" t="s">
        <v>3698</v>
      </c>
    </row>
    <row r="239" ht="11.25" customHeight="1">
      <c r="A239" t="s">
        <v>16</v>
      </c>
      <c r="B239" t="s">
        <v>3673</v>
      </c>
      <c r="C239" t="s">
        <v>3674</v>
      </c>
      <c r="D239" t="s">
        <v>3699</v>
      </c>
      <c r="E239" t="s">
        <v>3700</v>
      </c>
      <c r="F239" t="s">
        <v>3064</v>
      </c>
      <c r="G239" t="s">
        <v>3701</v>
      </c>
    </row>
    <row r="240" ht="11.25" customHeight="1">
      <c r="A240" t="s">
        <v>16</v>
      </c>
      <c r="B240" t="s">
        <v>3702</v>
      </c>
      <c r="C240" t="s">
        <v>3703</v>
      </c>
      <c r="D240" t="s">
        <v>3702</v>
      </c>
      <c r="E240" t="s">
        <v>3703</v>
      </c>
      <c r="F240" t="s">
        <v>3055</v>
      </c>
      <c r="G240" t="s">
        <v>3704</v>
      </c>
    </row>
    <row r="241" ht="11.25" customHeight="1">
      <c r="A241" t="s">
        <v>16</v>
      </c>
      <c r="B241" t="s">
        <v>3705</v>
      </c>
      <c r="C241" t="s">
        <v>3706</v>
      </c>
      <c r="D241" t="s">
        <v>3707</v>
      </c>
      <c r="E241" t="s">
        <v>3708</v>
      </c>
      <c r="F241" t="s">
        <v>3064</v>
      </c>
      <c r="G241" t="s">
        <v>3709</v>
      </c>
    </row>
    <row r="242" ht="11.25" customHeight="1">
      <c r="A242" t="s">
        <v>16</v>
      </c>
      <c r="B242" t="s">
        <v>3705</v>
      </c>
      <c r="C242" t="s">
        <v>3706</v>
      </c>
      <c r="D242" t="s">
        <v>3636</v>
      </c>
      <c r="E242" t="s">
        <v>3710</v>
      </c>
      <c r="F242" t="s">
        <v>3064</v>
      </c>
      <c r="G242" t="s">
        <v>3711</v>
      </c>
    </row>
    <row r="243" ht="11.25" customHeight="1">
      <c r="A243" t="s">
        <v>16</v>
      </c>
      <c r="B243" t="s">
        <v>3705</v>
      </c>
      <c r="C243" t="s">
        <v>3706</v>
      </c>
      <c r="D243" t="s">
        <v>3712</v>
      </c>
      <c r="E243" t="s">
        <v>3713</v>
      </c>
      <c r="F243" t="s">
        <v>3064</v>
      </c>
      <c r="G243" t="s">
        <v>3714</v>
      </c>
    </row>
    <row r="244" ht="11.25" customHeight="1">
      <c r="A244" t="s">
        <v>16</v>
      </c>
      <c r="B244" t="s">
        <v>3705</v>
      </c>
      <c r="C244" t="s">
        <v>3706</v>
      </c>
      <c r="D244" t="s">
        <v>3715</v>
      </c>
      <c r="E244" t="s">
        <v>3716</v>
      </c>
      <c r="F244" t="s">
        <v>3064</v>
      </c>
      <c r="G244" t="s">
        <v>3717</v>
      </c>
    </row>
    <row r="245" ht="11.25" customHeight="1">
      <c r="A245" t="s">
        <v>16</v>
      </c>
      <c r="B245" t="s">
        <v>3705</v>
      </c>
      <c r="C245" t="s">
        <v>3706</v>
      </c>
      <c r="D245" t="s">
        <v>3718</v>
      </c>
      <c r="E245" t="s">
        <v>3719</v>
      </c>
      <c r="F245" t="s">
        <v>3064</v>
      </c>
      <c r="G245" t="s">
        <v>3720</v>
      </c>
    </row>
    <row r="246" ht="11.25" customHeight="1">
      <c r="A246" t="s">
        <v>16</v>
      </c>
      <c r="B246" t="s">
        <v>3705</v>
      </c>
      <c r="C246" t="s">
        <v>3706</v>
      </c>
      <c r="D246" t="s">
        <v>3721</v>
      </c>
      <c r="E246" t="s">
        <v>3722</v>
      </c>
      <c r="F246" t="s">
        <v>3064</v>
      </c>
      <c r="G246" t="s">
        <v>3723</v>
      </c>
    </row>
    <row r="247" ht="11.25" customHeight="1">
      <c r="A247" t="s">
        <v>16</v>
      </c>
      <c r="B247" t="s">
        <v>3705</v>
      </c>
      <c r="C247" t="s">
        <v>3706</v>
      </c>
      <c r="D247" t="s">
        <v>3724</v>
      </c>
      <c r="E247" t="s">
        <v>3725</v>
      </c>
      <c r="F247" t="s">
        <v>3064</v>
      </c>
      <c r="G247" t="s">
        <v>3726</v>
      </c>
    </row>
    <row r="248" ht="11.25" customHeight="1">
      <c r="A248" t="s">
        <v>16</v>
      </c>
      <c r="B248" t="s">
        <v>3705</v>
      </c>
      <c r="C248" t="s">
        <v>3706</v>
      </c>
      <c r="D248" t="s">
        <v>3727</v>
      </c>
      <c r="E248" t="s">
        <v>3728</v>
      </c>
      <c r="F248" t="s">
        <v>3064</v>
      </c>
      <c r="G248" t="s">
        <v>3729</v>
      </c>
    </row>
    <row r="249" ht="11.25" customHeight="1">
      <c r="A249" t="s">
        <v>16</v>
      </c>
      <c r="B249" t="s">
        <v>3705</v>
      </c>
      <c r="C249" t="s">
        <v>3706</v>
      </c>
      <c r="D249" t="s">
        <v>3730</v>
      </c>
      <c r="E249" t="s">
        <v>3731</v>
      </c>
      <c r="F249" t="s">
        <v>3064</v>
      </c>
      <c r="G249" t="s">
        <v>3732</v>
      </c>
    </row>
    <row r="250" ht="11.25" customHeight="1">
      <c r="A250" t="s">
        <v>16</v>
      </c>
      <c r="B250" t="s">
        <v>3705</v>
      </c>
      <c r="C250" t="s">
        <v>3706</v>
      </c>
      <c r="D250" t="s">
        <v>3733</v>
      </c>
      <c r="E250" t="s">
        <v>3734</v>
      </c>
      <c r="F250" t="s">
        <v>3064</v>
      </c>
      <c r="G250" t="s">
        <v>3735</v>
      </c>
    </row>
    <row r="251" ht="11.25" customHeight="1">
      <c r="A251" t="s">
        <v>16</v>
      </c>
      <c r="B251" t="s">
        <v>3705</v>
      </c>
      <c r="C251" t="s">
        <v>3706</v>
      </c>
      <c r="D251" t="s">
        <v>3736</v>
      </c>
      <c r="E251" t="s">
        <v>3737</v>
      </c>
      <c r="F251" t="s">
        <v>3064</v>
      </c>
      <c r="G251" t="s">
        <v>3738</v>
      </c>
    </row>
    <row r="252" ht="11.25" customHeight="1">
      <c r="A252" t="s">
        <v>16</v>
      </c>
      <c r="B252" t="s">
        <v>3705</v>
      </c>
      <c r="C252" t="s">
        <v>3706</v>
      </c>
      <c r="D252" t="s">
        <v>3739</v>
      </c>
      <c r="E252" t="s">
        <v>3740</v>
      </c>
      <c r="F252" t="s">
        <v>3064</v>
      </c>
      <c r="G252" t="s">
        <v>3741</v>
      </c>
    </row>
    <row r="253" ht="11.25" customHeight="1">
      <c r="A253" t="s">
        <v>16</v>
      </c>
      <c r="B253" t="s">
        <v>3705</v>
      </c>
      <c r="C253" t="s">
        <v>3706</v>
      </c>
      <c r="D253" t="s">
        <v>3742</v>
      </c>
      <c r="E253" t="s">
        <v>3743</v>
      </c>
      <c r="F253" t="s">
        <v>3064</v>
      </c>
      <c r="G253" t="s">
        <v>3744</v>
      </c>
    </row>
    <row r="254" ht="11.25" customHeight="1">
      <c r="A254" t="s">
        <v>16</v>
      </c>
      <c r="B254" t="s">
        <v>3705</v>
      </c>
      <c r="C254" t="s">
        <v>3706</v>
      </c>
      <c r="D254" t="s">
        <v>3745</v>
      </c>
      <c r="E254" t="s">
        <v>3746</v>
      </c>
      <c r="F254" t="s">
        <v>3218</v>
      </c>
      <c r="G254" t="s">
        <v>3747</v>
      </c>
    </row>
    <row r="255" ht="11.25" customHeight="1">
      <c r="A255" t="s">
        <v>16</v>
      </c>
      <c r="B255" t="s">
        <v>3705</v>
      </c>
      <c r="C255" t="s">
        <v>3706</v>
      </c>
      <c r="D255" t="s">
        <v>3705</v>
      </c>
      <c r="E255" t="s">
        <v>3706</v>
      </c>
      <c r="F255" t="s">
        <v>3058</v>
      </c>
      <c r="G255" t="s">
        <v>3748</v>
      </c>
    </row>
    <row r="256" ht="11.25" customHeight="1">
      <c r="A256" t="s">
        <v>16</v>
      </c>
      <c r="B256" t="s">
        <v>3705</v>
      </c>
      <c r="C256" t="s">
        <v>3706</v>
      </c>
      <c r="D256" t="s">
        <v>3749</v>
      </c>
      <c r="E256" t="s">
        <v>3750</v>
      </c>
      <c r="F256" t="s">
        <v>3064</v>
      </c>
      <c r="G256" t="s">
        <v>3751</v>
      </c>
    </row>
    <row r="257" ht="11.25" customHeight="1">
      <c r="A257" t="s">
        <v>16</v>
      </c>
      <c r="B257" t="s">
        <v>3705</v>
      </c>
      <c r="C257" t="s">
        <v>3706</v>
      </c>
      <c r="D257" t="s">
        <v>3752</v>
      </c>
      <c r="E257" t="s">
        <v>3753</v>
      </c>
      <c r="F257" t="s">
        <v>3064</v>
      </c>
      <c r="G257" t="s">
        <v>3754</v>
      </c>
    </row>
    <row r="258" ht="11.25" customHeight="1">
      <c r="A258" t="s">
        <v>16</v>
      </c>
      <c r="B258" t="s">
        <v>3755</v>
      </c>
      <c r="C258" t="s">
        <v>3756</v>
      </c>
      <c r="D258" t="s">
        <v>3755</v>
      </c>
      <c r="E258" t="s">
        <v>3756</v>
      </c>
      <c r="F258" t="s">
        <v>3055</v>
      </c>
      <c r="G258" t="s">
        <v>3757</v>
      </c>
    </row>
    <row r="259" ht="11.25" customHeight="1">
      <c r="A259" t="s">
        <v>16</v>
      </c>
      <c r="B259" t="s">
        <v>3758</v>
      </c>
      <c r="C259" t="s">
        <v>3759</v>
      </c>
      <c r="D259" t="s">
        <v>3760</v>
      </c>
      <c r="E259" t="s">
        <v>3761</v>
      </c>
      <c r="F259" t="s">
        <v>3064</v>
      </c>
      <c r="G259" t="s">
        <v>3762</v>
      </c>
    </row>
    <row r="260" ht="11.25" customHeight="1">
      <c r="A260" t="s">
        <v>16</v>
      </c>
      <c r="B260" t="s">
        <v>3758</v>
      </c>
      <c r="C260" t="s">
        <v>3759</v>
      </c>
      <c r="D260" t="s">
        <v>3763</v>
      </c>
      <c r="E260" t="s">
        <v>3764</v>
      </c>
      <c r="F260" t="s">
        <v>3064</v>
      </c>
      <c r="G260" t="s">
        <v>3765</v>
      </c>
    </row>
    <row r="261" ht="11.25" customHeight="1">
      <c r="A261" t="s">
        <v>16</v>
      </c>
      <c r="B261" t="s">
        <v>3758</v>
      </c>
      <c r="C261" t="s">
        <v>3759</v>
      </c>
      <c r="D261" t="s">
        <v>3766</v>
      </c>
      <c r="E261" t="s">
        <v>3767</v>
      </c>
      <c r="F261" t="s">
        <v>3064</v>
      </c>
      <c r="G261" t="s">
        <v>3768</v>
      </c>
    </row>
    <row r="262" ht="11.25" customHeight="1">
      <c r="A262" t="s">
        <v>16</v>
      </c>
      <c r="B262" t="s">
        <v>3758</v>
      </c>
      <c r="C262" t="s">
        <v>3759</v>
      </c>
      <c r="D262" t="s">
        <v>3769</v>
      </c>
      <c r="E262" t="s">
        <v>3770</v>
      </c>
      <c r="F262" t="s">
        <v>3064</v>
      </c>
      <c r="G262" t="s">
        <v>3771</v>
      </c>
    </row>
    <row r="263" ht="11.25" customHeight="1">
      <c r="A263" t="s">
        <v>16</v>
      </c>
      <c r="B263" t="s">
        <v>3758</v>
      </c>
      <c r="C263" t="s">
        <v>3759</v>
      </c>
      <c r="D263" t="s">
        <v>3772</v>
      </c>
      <c r="E263" t="s">
        <v>3773</v>
      </c>
      <c r="F263" t="s">
        <v>3064</v>
      </c>
      <c r="G263" t="s">
        <v>3774</v>
      </c>
    </row>
    <row r="264" ht="11.25" customHeight="1">
      <c r="A264" t="s">
        <v>16</v>
      </c>
      <c r="B264" t="s">
        <v>3758</v>
      </c>
      <c r="C264" t="s">
        <v>3759</v>
      </c>
      <c r="D264" t="s">
        <v>3758</v>
      </c>
      <c r="E264" t="s">
        <v>3759</v>
      </c>
      <c r="F264" t="s">
        <v>3058</v>
      </c>
      <c r="G264" t="s">
        <v>3775</v>
      </c>
    </row>
    <row r="265" ht="11.25" customHeight="1">
      <c r="A265" t="s">
        <v>16</v>
      </c>
      <c r="B265" t="s">
        <v>3758</v>
      </c>
      <c r="C265" t="s">
        <v>3759</v>
      </c>
      <c r="D265" t="s">
        <v>3776</v>
      </c>
      <c r="E265" t="s">
        <v>3777</v>
      </c>
      <c r="F265" t="s">
        <v>3061</v>
      </c>
      <c r="G265" t="s">
        <v>3778</v>
      </c>
    </row>
    <row r="266" ht="11.25" customHeight="1">
      <c r="A266" t="s">
        <v>16</v>
      </c>
      <c r="B266" t="s">
        <v>3758</v>
      </c>
      <c r="C266" t="s">
        <v>3759</v>
      </c>
      <c r="D266" t="s">
        <v>3779</v>
      </c>
      <c r="E266" t="s">
        <v>3780</v>
      </c>
      <c r="F266" t="s">
        <v>3064</v>
      </c>
      <c r="G266" t="s">
        <v>3781</v>
      </c>
    </row>
    <row r="267" ht="11.25" customHeight="1">
      <c r="A267" t="s">
        <v>16</v>
      </c>
      <c r="B267" t="s">
        <v>3782</v>
      </c>
      <c r="C267" t="s">
        <v>3783</v>
      </c>
      <c r="D267" t="s">
        <v>3782</v>
      </c>
      <c r="E267" t="s">
        <v>3783</v>
      </c>
      <c r="F267" t="s">
        <v>3055</v>
      </c>
      <c r="G267" t="s">
        <v>3784</v>
      </c>
    </row>
    <row r="268" ht="11.25" customHeight="1">
      <c r="A268" t="s">
        <v>16</v>
      </c>
      <c r="B268" t="s">
        <v>3785</v>
      </c>
      <c r="C268" t="s">
        <v>3786</v>
      </c>
      <c r="D268" t="s">
        <v>3787</v>
      </c>
      <c r="E268" t="s">
        <v>3788</v>
      </c>
      <c r="F268" t="s">
        <v>3064</v>
      </c>
      <c r="G268" t="s">
        <v>3789</v>
      </c>
    </row>
    <row r="269" ht="11.25" customHeight="1">
      <c r="A269" t="s">
        <v>16</v>
      </c>
      <c r="B269" t="s">
        <v>3785</v>
      </c>
      <c r="C269" t="s">
        <v>3786</v>
      </c>
      <c r="D269" t="s">
        <v>3790</v>
      </c>
      <c r="E269" t="s">
        <v>3791</v>
      </c>
      <c r="F269" t="s">
        <v>3064</v>
      </c>
      <c r="G269" t="s">
        <v>3792</v>
      </c>
    </row>
    <row r="270" ht="11.25" customHeight="1">
      <c r="A270" t="s">
        <v>16</v>
      </c>
      <c r="B270" t="s">
        <v>3785</v>
      </c>
      <c r="C270" t="s">
        <v>3786</v>
      </c>
      <c r="D270" t="s">
        <v>3793</v>
      </c>
      <c r="E270" t="s">
        <v>3794</v>
      </c>
      <c r="F270" t="s">
        <v>3064</v>
      </c>
      <c r="G270" t="s">
        <v>3795</v>
      </c>
    </row>
    <row r="271" ht="11.25" customHeight="1">
      <c r="A271" t="s">
        <v>16</v>
      </c>
      <c r="B271" t="s">
        <v>3785</v>
      </c>
      <c r="C271" t="s">
        <v>3786</v>
      </c>
      <c r="D271" t="s">
        <v>3796</v>
      </c>
      <c r="E271" t="s">
        <v>3797</v>
      </c>
      <c r="F271" t="s">
        <v>3064</v>
      </c>
      <c r="G271" t="s">
        <v>3798</v>
      </c>
    </row>
    <row r="272" ht="11.25" customHeight="1">
      <c r="A272" t="s">
        <v>16</v>
      </c>
      <c r="B272" t="s">
        <v>3785</v>
      </c>
      <c r="C272" t="s">
        <v>3786</v>
      </c>
      <c r="D272" t="s">
        <v>3785</v>
      </c>
      <c r="E272" t="s">
        <v>3786</v>
      </c>
      <c r="F272" t="s">
        <v>3058</v>
      </c>
      <c r="G272" t="s">
        <v>3799</v>
      </c>
    </row>
    <row r="273" ht="11.25" customHeight="1">
      <c r="A273" t="s">
        <v>16</v>
      </c>
      <c r="B273" t="s">
        <v>3785</v>
      </c>
      <c r="C273" t="s">
        <v>3786</v>
      </c>
      <c r="D273" t="s">
        <v>3800</v>
      </c>
      <c r="E273" t="s">
        <v>3801</v>
      </c>
      <c r="F273" t="s">
        <v>3061</v>
      </c>
      <c r="G273" t="s">
        <v>3802</v>
      </c>
    </row>
    <row r="274" ht="11.25" customHeight="1">
      <c r="A274" t="s">
        <v>16</v>
      </c>
      <c r="B274" t="s">
        <v>3803</v>
      </c>
      <c r="C274" t="s">
        <v>3804</v>
      </c>
      <c r="D274" t="s">
        <v>3803</v>
      </c>
      <c r="E274" t="s">
        <v>3804</v>
      </c>
      <c r="F274" t="s">
        <v>3055</v>
      </c>
      <c r="G274" t="s">
        <v>3805</v>
      </c>
    </row>
    <row r="275" ht="11.25" customHeight="1">
      <c r="A275" t="s">
        <v>16</v>
      </c>
      <c r="B275" t="s">
        <v>3806</v>
      </c>
      <c r="C275" t="s">
        <v>3807</v>
      </c>
      <c r="D275" t="s">
        <v>3808</v>
      </c>
      <c r="E275" t="s">
        <v>3809</v>
      </c>
      <c r="F275" t="s">
        <v>3064</v>
      </c>
      <c r="G275" t="s">
        <v>3810</v>
      </c>
    </row>
    <row r="276" ht="11.25" customHeight="1">
      <c r="A276" t="s">
        <v>16</v>
      </c>
      <c r="B276" t="s">
        <v>3806</v>
      </c>
      <c r="C276" t="s">
        <v>3807</v>
      </c>
      <c r="D276" t="s">
        <v>3811</v>
      </c>
      <c r="E276" t="s">
        <v>3812</v>
      </c>
      <c r="F276" t="s">
        <v>3064</v>
      </c>
      <c r="G276" t="s">
        <v>3813</v>
      </c>
    </row>
    <row r="277" ht="11.25" customHeight="1">
      <c r="A277" t="s">
        <v>16</v>
      </c>
      <c r="B277" t="s">
        <v>3806</v>
      </c>
      <c r="C277" t="s">
        <v>3807</v>
      </c>
      <c r="D277" t="s">
        <v>3814</v>
      </c>
      <c r="E277" t="s">
        <v>3815</v>
      </c>
      <c r="F277" t="s">
        <v>3064</v>
      </c>
      <c r="G277" t="s">
        <v>3816</v>
      </c>
    </row>
    <row r="278" ht="11.25" customHeight="1">
      <c r="A278" t="s">
        <v>16</v>
      </c>
      <c r="B278" t="s">
        <v>3806</v>
      </c>
      <c r="C278" t="s">
        <v>3807</v>
      </c>
      <c r="D278" t="s">
        <v>3817</v>
      </c>
      <c r="E278" t="s">
        <v>3818</v>
      </c>
      <c r="F278" t="s">
        <v>3064</v>
      </c>
      <c r="G278" t="s">
        <v>3819</v>
      </c>
    </row>
    <row r="279" ht="11.25" customHeight="1">
      <c r="A279" t="s">
        <v>16</v>
      </c>
      <c r="B279" t="s">
        <v>3806</v>
      </c>
      <c r="C279" t="s">
        <v>3807</v>
      </c>
      <c r="D279" t="s">
        <v>3820</v>
      </c>
      <c r="E279" t="s">
        <v>3821</v>
      </c>
      <c r="F279" t="s">
        <v>3064</v>
      </c>
      <c r="G279" t="s">
        <v>3822</v>
      </c>
    </row>
    <row r="280" ht="11.25" customHeight="1">
      <c r="A280" t="s">
        <v>16</v>
      </c>
      <c r="B280" t="s">
        <v>3806</v>
      </c>
      <c r="C280" t="s">
        <v>3807</v>
      </c>
      <c r="D280" t="s">
        <v>3806</v>
      </c>
      <c r="E280" t="s">
        <v>3807</v>
      </c>
      <c r="F280" t="s">
        <v>3058</v>
      </c>
      <c r="G280" t="s">
        <v>3823</v>
      </c>
    </row>
    <row r="281" ht="11.25" customHeight="1">
      <c r="A281" t="s">
        <v>16</v>
      </c>
      <c r="B281" t="s">
        <v>3806</v>
      </c>
      <c r="C281" t="s">
        <v>3807</v>
      </c>
      <c r="D281" t="s">
        <v>3824</v>
      </c>
      <c r="E281" t="s">
        <v>3825</v>
      </c>
      <c r="F281" t="s">
        <v>3061</v>
      </c>
      <c r="G281" t="s">
        <v>3826</v>
      </c>
    </row>
    <row r="282" ht="11.25" customHeight="1">
      <c r="A282" t="s">
        <v>16</v>
      </c>
      <c r="B282" t="s">
        <v>3827</v>
      </c>
      <c r="C282" t="s">
        <v>3828</v>
      </c>
      <c r="D282" t="s">
        <v>3827</v>
      </c>
      <c r="E282" t="s">
        <v>3828</v>
      </c>
      <c r="F282" t="s">
        <v>3055</v>
      </c>
      <c r="G282" t="s">
        <v>3829</v>
      </c>
    </row>
    <row r="283" ht="11.25" customHeight="1">
      <c r="A283" t="s">
        <v>16</v>
      </c>
      <c r="B283" t="s">
        <v>3830</v>
      </c>
      <c r="C283" t="s">
        <v>3831</v>
      </c>
      <c r="D283" t="s">
        <v>3832</v>
      </c>
      <c r="E283" t="s">
        <v>3833</v>
      </c>
      <c r="F283" t="s">
        <v>3064</v>
      </c>
      <c r="G283" t="s">
        <v>3834</v>
      </c>
    </row>
    <row r="284" ht="11.25" customHeight="1">
      <c r="A284" t="s">
        <v>16</v>
      </c>
      <c r="B284" t="s">
        <v>3830</v>
      </c>
      <c r="C284" t="s">
        <v>3831</v>
      </c>
      <c r="D284" t="s">
        <v>3835</v>
      </c>
      <c r="E284" t="s">
        <v>3836</v>
      </c>
      <c r="F284" t="s">
        <v>3064</v>
      </c>
      <c r="G284" t="s">
        <v>3837</v>
      </c>
    </row>
    <row r="285" ht="11.25" customHeight="1">
      <c r="A285" t="s">
        <v>16</v>
      </c>
      <c r="B285" t="s">
        <v>3830</v>
      </c>
      <c r="C285" t="s">
        <v>3831</v>
      </c>
      <c r="D285" t="s">
        <v>3838</v>
      </c>
      <c r="E285" t="s">
        <v>3839</v>
      </c>
      <c r="F285" t="s">
        <v>3064</v>
      </c>
      <c r="G285" t="s">
        <v>3840</v>
      </c>
    </row>
    <row r="286" ht="11.25" customHeight="1">
      <c r="A286" t="s">
        <v>16</v>
      </c>
      <c r="B286" t="s">
        <v>3830</v>
      </c>
      <c r="C286" t="s">
        <v>3831</v>
      </c>
      <c r="D286" t="s">
        <v>3841</v>
      </c>
      <c r="E286" t="s">
        <v>3842</v>
      </c>
      <c r="F286" t="s">
        <v>3064</v>
      </c>
      <c r="G286" t="s">
        <v>3843</v>
      </c>
    </row>
    <row r="287" ht="11.25" customHeight="1">
      <c r="A287" t="s">
        <v>16</v>
      </c>
      <c r="B287" t="s">
        <v>3830</v>
      </c>
      <c r="C287" t="s">
        <v>3831</v>
      </c>
      <c r="D287" t="s">
        <v>3844</v>
      </c>
      <c r="E287" t="s">
        <v>3845</v>
      </c>
      <c r="F287" t="s">
        <v>3064</v>
      </c>
      <c r="G287" t="s">
        <v>3846</v>
      </c>
    </row>
    <row r="288" ht="11.25" customHeight="1">
      <c r="A288" t="s">
        <v>16</v>
      </c>
      <c r="B288" t="s">
        <v>3830</v>
      </c>
      <c r="C288" t="s">
        <v>3831</v>
      </c>
      <c r="D288" t="s">
        <v>3847</v>
      </c>
      <c r="E288" t="s">
        <v>3848</v>
      </c>
      <c r="F288" t="s">
        <v>3064</v>
      </c>
      <c r="G288" t="s">
        <v>3849</v>
      </c>
    </row>
    <row r="289" ht="11.25" customHeight="1">
      <c r="A289" t="s">
        <v>16</v>
      </c>
      <c r="B289" t="s">
        <v>3830</v>
      </c>
      <c r="C289" t="s">
        <v>3831</v>
      </c>
      <c r="D289" t="s">
        <v>3850</v>
      </c>
      <c r="E289" t="s">
        <v>3851</v>
      </c>
      <c r="F289" t="s">
        <v>3064</v>
      </c>
      <c r="G289" t="s">
        <v>3852</v>
      </c>
    </row>
    <row r="290" ht="11.25" customHeight="1">
      <c r="A290" t="s">
        <v>16</v>
      </c>
      <c r="B290" t="s">
        <v>3830</v>
      </c>
      <c r="C290" t="s">
        <v>3831</v>
      </c>
      <c r="D290" t="s">
        <v>3853</v>
      </c>
      <c r="E290" t="s">
        <v>3854</v>
      </c>
      <c r="F290" t="s">
        <v>3064</v>
      </c>
      <c r="G290" t="s">
        <v>3855</v>
      </c>
    </row>
    <row r="291" ht="11.25" customHeight="1">
      <c r="A291" t="s">
        <v>16</v>
      </c>
      <c r="B291" t="s">
        <v>3830</v>
      </c>
      <c r="C291" t="s">
        <v>3831</v>
      </c>
      <c r="D291" t="s">
        <v>3856</v>
      </c>
      <c r="E291" t="s">
        <v>3857</v>
      </c>
      <c r="F291" t="s">
        <v>3064</v>
      </c>
      <c r="G291" t="s">
        <v>3858</v>
      </c>
    </row>
    <row r="292" ht="11.25" customHeight="1">
      <c r="A292" t="s">
        <v>16</v>
      </c>
      <c r="B292" t="s">
        <v>3830</v>
      </c>
      <c r="C292" t="s">
        <v>3831</v>
      </c>
      <c r="D292" t="s">
        <v>3859</v>
      </c>
      <c r="E292" t="s">
        <v>3860</v>
      </c>
      <c r="F292" t="s">
        <v>3064</v>
      </c>
      <c r="G292" t="s">
        <v>3861</v>
      </c>
    </row>
    <row r="293" ht="11.25" customHeight="1">
      <c r="A293" t="s">
        <v>16</v>
      </c>
      <c r="B293" t="s">
        <v>3830</v>
      </c>
      <c r="C293" t="s">
        <v>3831</v>
      </c>
      <c r="D293" t="s">
        <v>3862</v>
      </c>
      <c r="E293" t="s">
        <v>3863</v>
      </c>
      <c r="F293" t="s">
        <v>3064</v>
      </c>
      <c r="G293" t="s">
        <v>3864</v>
      </c>
    </row>
    <row r="294" ht="11.25" customHeight="1">
      <c r="A294" t="s">
        <v>16</v>
      </c>
      <c r="B294" t="s">
        <v>3830</v>
      </c>
      <c r="C294" t="s">
        <v>3831</v>
      </c>
      <c r="D294" t="s">
        <v>3793</v>
      </c>
      <c r="E294" t="s">
        <v>3865</v>
      </c>
      <c r="F294" t="s">
        <v>3064</v>
      </c>
      <c r="G294" t="s">
        <v>3866</v>
      </c>
    </row>
    <row r="295" ht="11.25" customHeight="1">
      <c r="A295" t="s">
        <v>16</v>
      </c>
      <c r="B295" t="s">
        <v>3830</v>
      </c>
      <c r="C295" t="s">
        <v>3831</v>
      </c>
      <c r="D295" t="s">
        <v>3867</v>
      </c>
      <c r="E295" t="s">
        <v>3868</v>
      </c>
      <c r="F295" t="s">
        <v>3064</v>
      </c>
      <c r="G295" t="s">
        <v>3869</v>
      </c>
    </row>
    <row r="296" ht="11.25" customHeight="1">
      <c r="A296" t="s">
        <v>16</v>
      </c>
      <c r="B296" t="s">
        <v>3830</v>
      </c>
      <c r="C296" t="s">
        <v>3831</v>
      </c>
      <c r="D296" t="s">
        <v>3870</v>
      </c>
      <c r="E296" t="s">
        <v>3871</v>
      </c>
      <c r="F296" t="s">
        <v>3064</v>
      </c>
      <c r="G296" t="s">
        <v>3872</v>
      </c>
    </row>
    <row r="297" ht="11.25" customHeight="1">
      <c r="A297" t="s">
        <v>16</v>
      </c>
      <c r="B297" t="s">
        <v>3830</v>
      </c>
      <c r="C297" t="s">
        <v>3831</v>
      </c>
      <c r="D297" t="s">
        <v>3873</v>
      </c>
      <c r="E297" t="s">
        <v>3874</v>
      </c>
      <c r="F297" t="s">
        <v>3064</v>
      </c>
      <c r="G297" t="s">
        <v>3875</v>
      </c>
    </row>
    <row r="298" ht="11.25" customHeight="1">
      <c r="A298" t="s">
        <v>16</v>
      </c>
      <c r="B298" t="s">
        <v>3830</v>
      </c>
      <c r="C298" t="s">
        <v>3831</v>
      </c>
      <c r="D298" t="s">
        <v>3830</v>
      </c>
      <c r="E298" t="s">
        <v>3831</v>
      </c>
      <c r="F298" t="s">
        <v>3058</v>
      </c>
      <c r="G298" t="s">
        <v>3876</v>
      </c>
    </row>
    <row r="299" ht="11.25" customHeight="1">
      <c r="A299" t="s">
        <v>16</v>
      </c>
      <c r="B299" t="s">
        <v>3830</v>
      </c>
      <c r="C299" t="s">
        <v>3831</v>
      </c>
      <c r="D299" t="s">
        <v>3877</v>
      </c>
      <c r="E299" t="s">
        <v>3878</v>
      </c>
      <c r="F299" t="s">
        <v>3218</v>
      </c>
      <c r="G299" t="s">
        <v>3879</v>
      </c>
    </row>
    <row r="300" ht="11.25" customHeight="1">
      <c r="A300" t="s">
        <v>16</v>
      </c>
      <c r="B300" t="s">
        <v>3830</v>
      </c>
      <c r="C300" t="s">
        <v>3831</v>
      </c>
      <c r="D300" t="s">
        <v>3880</v>
      </c>
      <c r="E300" t="s">
        <v>3881</v>
      </c>
      <c r="F300" t="s">
        <v>3064</v>
      </c>
      <c r="G300" t="s">
        <v>3882</v>
      </c>
    </row>
    <row r="301" ht="11.25" customHeight="1">
      <c r="A301" t="s">
        <v>16</v>
      </c>
      <c r="B301" t="s">
        <v>3883</v>
      </c>
      <c r="C301" t="s">
        <v>3884</v>
      </c>
      <c r="D301" t="s">
        <v>3883</v>
      </c>
      <c r="E301" t="s">
        <v>3884</v>
      </c>
      <c r="F301" t="s">
        <v>3055</v>
      </c>
      <c r="G301" t="s">
        <v>3885</v>
      </c>
    </row>
    <row r="302" ht="11.25" customHeight="1">
      <c r="A302" t="s">
        <v>16</v>
      </c>
      <c r="B302" t="s">
        <v>3886</v>
      </c>
      <c r="C302" t="s">
        <v>3887</v>
      </c>
      <c r="D302" t="s">
        <v>3888</v>
      </c>
      <c r="E302" t="s">
        <v>3889</v>
      </c>
      <c r="F302" t="s">
        <v>3064</v>
      </c>
      <c r="G302" t="s">
        <v>3890</v>
      </c>
    </row>
    <row r="303" ht="11.25" customHeight="1">
      <c r="A303" t="s">
        <v>16</v>
      </c>
      <c r="B303" t="s">
        <v>3886</v>
      </c>
      <c r="C303" t="s">
        <v>3887</v>
      </c>
      <c r="D303" t="s">
        <v>3835</v>
      </c>
      <c r="E303" t="s">
        <v>3891</v>
      </c>
      <c r="F303" t="s">
        <v>3064</v>
      </c>
      <c r="G303" t="s">
        <v>3892</v>
      </c>
    </row>
    <row r="304" ht="11.25" customHeight="1">
      <c r="A304" t="s">
        <v>16</v>
      </c>
      <c r="B304" t="s">
        <v>3886</v>
      </c>
      <c r="C304" t="s">
        <v>3887</v>
      </c>
      <c r="D304" t="s">
        <v>3893</v>
      </c>
      <c r="E304" t="s">
        <v>3894</v>
      </c>
      <c r="F304" t="s">
        <v>3064</v>
      </c>
      <c r="G304" t="s">
        <v>3895</v>
      </c>
    </row>
    <row r="305" ht="11.25" customHeight="1">
      <c r="A305" t="s">
        <v>16</v>
      </c>
      <c r="B305" t="s">
        <v>3886</v>
      </c>
      <c r="C305" t="s">
        <v>3887</v>
      </c>
      <c r="D305" t="s">
        <v>3896</v>
      </c>
      <c r="E305" t="s">
        <v>3897</v>
      </c>
      <c r="F305" t="s">
        <v>3064</v>
      </c>
      <c r="G305" t="s">
        <v>3898</v>
      </c>
    </row>
    <row r="306" ht="11.25" customHeight="1">
      <c r="A306" t="s">
        <v>16</v>
      </c>
      <c r="B306" t="s">
        <v>3886</v>
      </c>
      <c r="C306" t="s">
        <v>3887</v>
      </c>
      <c r="D306" t="s">
        <v>3899</v>
      </c>
      <c r="E306" t="s">
        <v>3900</v>
      </c>
      <c r="F306" t="s">
        <v>3064</v>
      </c>
      <c r="G306" t="s">
        <v>3901</v>
      </c>
    </row>
    <row r="307" ht="11.25" customHeight="1">
      <c r="A307" t="s">
        <v>16</v>
      </c>
      <c r="B307" t="s">
        <v>3886</v>
      </c>
      <c r="C307" t="s">
        <v>3887</v>
      </c>
      <c r="D307" t="s">
        <v>3902</v>
      </c>
      <c r="E307" t="s">
        <v>3903</v>
      </c>
      <c r="F307" t="s">
        <v>3064</v>
      </c>
      <c r="G307" t="s">
        <v>3904</v>
      </c>
    </row>
    <row r="308" ht="11.25" customHeight="1">
      <c r="A308" t="s">
        <v>16</v>
      </c>
      <c r="B308" t="s">
        <v>3886</v>
      </c>
      <c r="C308" t="s">
        <v>3887</v>
      </c>
      <c r="D308" t="s">
        <v>3905</v>
      </c>
      <c r="E308" t="s">
        <v>3906</v>
      </c>
      <c r="F308" t="s">
        <v>3064</v>
      </c>
      <c r="G308" t="s">
        <v>3907</v>
      </c>
    </row>
    <row r="309" ht="11.25" customHeight="1">
      <c r="A309" t="s">
        <v>16</v>
      </c>
      <c r="B309" t="s">
        <v>3886</v>
      </c>
      <c r="C309" t="s">
        <v>3887</v>
      </c>
      <c r="D309" t="s">
        <v>3908</v>
      </c>
      <c r="E309" t="s">
        <v>3909</v>
      </c>
      <c r="F309" t="s">
        <v>3064</v>
      </c>
      <c r="G309" t="s">
        <v>3910</v>
      </c>
    </row>
    <row r="310" ht="11.25" customHeight="1">
      <c r="A310" t="s">
        <v>16</v>
      </c>
      <c r="B310" t="s">
        <v>3886</v>
      </c>
      <c r="C310" t="s">
        <v>3887</v>
      </c>
      <c r="D310" t="s">
        <v>3911</v>
      </c>
      <c r="E310" t="s">
        <v>3912</v>
      </c>
      <c r="F310" t="s">
        <v>3061</v>
      </c>
      <c r="G310" t="s">
        <v>3913</v>
      </c>
    </row>
    <row r="311" ht="11.25" customHeight="1">
      <c r="A311" t="s">
        <v>16</v>
      </c>
      <c r="B311" t="s">
        <v>3886</v>
      </c>
      <c r="C311" t="s">
        <v>3887</v>
      </c>
      <c r="D311" t="s">
        <v>3914</v>
      </c>
      <c r="E311" t="s">
        <v>3915</v>
      </c>
      <c r="F311" t="s">
        <v>3064</v>
      </c>
      <c r="G311" t="s">
        <v>3916</v>
      </c>
    </row>
    <row r="312" ht="11.25" customHeight="1">
      <c r="A312" t="s">
        <v>16</v>
      </c>
      <c r="B312" t="s">
        <v>3886</v>
      </c>
      <c r="C312" t="s">
        <v>3887</v>
      </c>
      <c r="D312" t="s">
        <v>3917</v>
      </c>
      <c r="E312" t="s">
        <v>3918</v>
      </c>
      <c r="F312" t="s">
        <v>3064</v>
      </c>
      <c r="G312" t="s">
        <v>3919</v>
      </c>
    </row>
    <row r="313" ht="11.25" customHeight="1">
      <c r="A313" t="s">
        <v>16</v>
      </c>
      <c r="B313" t="s">
        <v>3886</v>
      </c>
      <c r="C313" t="s">
        <v>3887</v>
      </c>
      <c r="D313" t="s">
        <v>3920</v>
      </c>
      <c r="E313" t="s">
        <v>3921</v>
      </c>
      <c r="F313" t="s">
        <v>3064</v>
      </c>
      <c r="G313" t="s">
        <v>3922</v>
      </c>
    </row>
    <row r="314" ht="11.25" customHeight="1">
      <c r="A314" t="s">
        <v>16</v>
      </c>
      <c r="B314" t="s">
        <v>3886</v>
      </c>
      <c r="C314" t="s">
        <v>3887</v>
      </c>
      <c r="D314" t="s">
        <v>3398</v>
      </c>
      <c r="E314" t="s">
        <v>3923</v>
      </c>
      <c r="F314" t="s">
        <v>3064</v>
      </c>
      <c r="G314" t="s">
        <v>3924</v>
      </c>
    </row>
    <row r="315" ht="11.25" customHeight="1">
      <c r="A315" t="s">
        <v>16</v>
      </c>
      <c r="B315" t="s">
        <v>3886</v>
      </c>
      <c r="C315" t="s">
        <v>3887</v>
      </c>
      <c r="D315" t="s">
        <v>3886</v>
      </c>
      <c r="E315" t="s">
        <v>3887</v>
      </c>
      <c r="F315" t="s">
        <v>3058</v>
      </c>
      <c r="G315" t="s">
        <v>3925</v>
      </c>
    </row>
    <row r="316" ht="11.25" customHeight="1">
      <c r="A316" t="s">
        <v>16</v>
      </c>
      <c r="B316" t="s">
        <v>3886</v>
      </c>
      <c r="C316" t="s">
        <v>3887</v>
      </c>
      <c r="D316" t="s">
        <v>3926</v>
      </c>
      <c r="E316" t="s">
        <v>3927</v>
      </c>
      <c r="F316" t="s">
        <v>3061</v>
      </c>
      <c r="G316" t="s">
        <v>3928</v>
      </c>
    </row>
  </sheetData>
  <sheetProtection autoFilter="0" deleteColumns="0" deleteRows="0" insertColumns="1" insertRows="0" sort="0"/>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sheetPr>
  <sheetViews>
    <sheetView showGridLines="0" topLeftCell="A1" workbookViewId="0">
      <selection activeCell="A1" sqref="A1"/>
    </sheetView>
  </sheetViews>
  <sheetFormatPr defaultColWidth="9.140625" defaultRowHeight="11.25" customHeight="1"/>
  <cols>
    <col min="1" max="1" style="1691" width="9.140625"/>
    <col customWidth="1" min="2" max="2" style="1691" width="84.28125"/>
    <col min="3" max="3" style="1691" width="9.140625"/>
  </cols>
  <sheetData>
    <row r="1" ht="11.25" customHeight="1">
      <c r="A1" s="835" t="s">
        <v>3959</v>
      </c>
      <c r="B1" s="835" t="s">
        <v>3960</v>
      </c>
      <c r="C1" s="835" t="s">
        <v>1167</v>
      </c>
    </row>
    <row r="2" ht="11.25" customHeight="1">
      <c r="A2" s="835">
        <v>4189678</v>
      </c>
      <c r="B2" s="835" t="s">
        <v>3961</v>
      </c>
      <c r="C2" s="835" t="s">
        <v>3962</v>
      </c>
    </row>
    <row r="3" ht="11.25" customHeight="1">
      <c r="A3" s="835">
        <v>4190415</v>
      </c>
      <c r="B3" s="835" t="s">
        <v>3963</v>
      </c>
      <c r="C3" s="835" t="s">
        <v>3962</v>
      </c>
    </row>
  </sheetData>
  <sheetProtection autoFilter="0" deleteColumns="0" deleteRows="0" insertColumns="1" insertRows="0" sort="0"/>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sheetPr>
  <sheetViews>
    <sheetView showGridLines="0" topLeftCell="A1" workbookViewId="0">
      <selection activeCell="A1" sqref="A1"/>
    </sheetView>
  </sheetViews>
  <sheetFormatPr defaultColWidth="9.140625" defaultRowHeight="15" customHeight="1"/>
  <cols>
    <col customWidth="1" min="1" max="1" style="162" width="38.421875"/>
    <col min="2" max="5" style="162" width="9.140625"/>
  </cols>
  <sheetData>
    <row r="1" ht="15" customHeight="1">
      <c r="A1" s="163" t="s">
        <v>3964</v>
      </c>
      <c r="B1" s="163" t="s">
        <v>3965</v>
      </c>
      <c r="C1" s="163"/>
      <c r="D1" s="163"/>
      <c r="E1" s="163"/>
    </row>
    <row r="2" ht="15" customHeight="1">
      <c r="A2" s="163"/>
      <c r="B2" s="163"/>
      <c r="C2" s="163"/>
      <c r="D2" s="163"/>
      <c r="E2" s="163"/>
    </row>
    <row r="3" ht="15" customHeight="1">
      <c r="A3" s="163"/>
      <c r="B3" s="163"/>
      <c r="C3" s="163"/>
      <c r="D3" s="163"/>
      <c r="E3" s="163"/>
    </row>
    <row r="4" ht="15" customHeight="1">
      <c r="A4" s="163"/>
      <c r="B4" s="163"/>
      <c r="C4" s="163"/>
      <c r="D4" s="163"/>
      <c r="E4" s="163"/>
    </row>
    <row r="5" ht="15" customHeight="1">
      <c r="A5" s="163"/>
      <c r="B5" s="163"/>
      <c r="C5" s="163"/>
      <c r="D5" s="163"/>
      <c r="E5" s="163"/>
    </row>
    <row r="6" ht="15" customHeight="1">
      <c r="A6" s="163"/>
      <c r="B6" s="163"/>
      <c r="C6" s="163"/>
      <c r="D6" s="163"/>
      <c r="E6" s="163"/>
    </row>
    <row r="7" ht="15" customHeight="1">
      <c r="A7" s="163"/>
      <c r="B7" s="163"/>
      <c r="C7" s="163"/>
      <c r="D7" s="163"/>
      <c r="E7" s="163"/>
    </row>
    <row r="8" ht="15" customHeight="1">
      <c r="A8" s="163"/>
      <c r="B8" s="163"/>
      <c r="C8" s="163"/>
      <c r="D8" s="163"/>
      <c r="E8" s="163"/>
    </row>
  </sheetData>
  <sheetProtection autoFilter="0" deleteColumns="0" deleteRows="0" formatColumns="0" formatRows="0" insertColumns="1" insertRows="0" sort="0"/>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sheetPr>
  <sheetViews>
    <sheetView topLeftCell="A1" workbookViewId="0">
      <selection activeCell="A1" sqref="A1"/>
    </sheetView>
  </sheetViews>
  <sheetFormatPr defaultRowHeight="11.25" customHeight="1"/>
  <sheetData>
    <row r="1" ht="11.25" customHeight="1">
      <c r="A1" t="s">
        <v>3966</v>
      </c>
      <c r="B1" t="b">
        <v>1</v>
      </c>
    </row>
    <row r="2" ht="11.25" customHeight="1">
      <c r="A2" t="s">
        <v>3967</v>
      </c>
      <c r="B2" t="b">
        <v>0</v>
      </c>
    </row>
    <row r="3" ht="11.25" customHeight="1">
      <c r="A3" t="s">
        <v>3968</v>
      </c>
      <c r="B3" t="b">
        <v>0</v>
      </c>
    </row>
    <row r="4" ht="11.25" customHeight="1">
      <c r="A4" t="s">
        <v>3969</v>
      </c>
      <c r="B4" t="b">
        <v>0</v>
      </c>
    </row>
    <row r="5" ht="11.25" customHeight="1">
      <c r="A5" t="s">
        <v>3970</v>
      </c>
      <c r="B5" t="b">
        <v>1</v>
      </c>
    </row>
    <row r="6" ht="11.25" customHeight="1">
      <c r="A6" t="s">
        <v>3971</v>
      </c>
      <c r="B6" t="b">
        <v>0</v>
      </c>
    </row>
    <row r="7" ht="11.25" customHeight="1">
      <c r="A7" t="s">
        <v>3972</v>
      </c>
      <c r="B7" t="b">
        <v>0</v>
      </c>
    </row>
    <row r="8" ht="11.25" customHeight="1">
      <c r="A8" t="s">
        <v>3973</v>
      </c>
      <c r="B8" t="b">
        <v>0</v>
      </c>
    </row>
    <row r="9" ht="11.25" customHeight="1">
      <c r="A9" t="s">
        <v>3974</v>
      </c>
      <c r="B9" t="b">
        <v>0</v>
      </c>
    </row>
    <row r="10" ht="11.25" customHeight="1">
      <c r="A10" t="s">
        <v>3975</v>
      </c>
      <c r="B10" t="b">
        <v>0</v>
      </c>
    </row>
    <row r="11" ht="11.25" customHeight="1">
      <c r="A11" t="s">
        <v>3976</v>
      </c>
      <c r="B11" t="b">
        <v>1</v>
      </c>
    </row>
    <row r="12" ht="11.25" customHeight="1">
      <c r="A12" t="s">
        <v>3977</v>
      </c>
      <c r="B12" t="b">
        <v>0</v>
      </c>
    </row>
    <row r="13" ht="11.25" customHeight="1">
      <c r="A13" t="s">
        <v>3978</v>
      </c>
      <c r="B13" t="b">
        <v>0</v>
      </c>
    </row>
    <row r="14" ht="11.25" customHeight="1">
      <c r="A14" t="s">
        <v>3979</v>
      </c>
      <c r="B14" t="b">
        <v>0</v>
      </c>
    </row>
    <row r="15" ht="11.25" customHeight="1">
      <c r="A15" t="s">
        <v>3980</v>
      </c>
      <c r="B15" t="b">
        <v>1</v>
      </c>
    </row>
  </sheetData>
  <sheetProtection autoFilter="0" deleteColumns="0" deleteRows="0" insertColumns="1" insertRows="0" sort="0"/>
  <pageMargins left="0.69999999999999996" right="0.69999999999999996" top="0.75" bottom="0.75" header="0.29999999999999999" footer="0.29999999999999999"/>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sheetPr>
  <sheetViews>
    <sheetView showGridLines="0" topLeftCell="A1" workbookViewId="0">
      <selection activeCell="A1" sqref="A1"/>
    </sheetView>
  </sheetViews>
  <sheetFormatPr defaultColWidth="9.140625" defaultRowHeight="12.75" customHeight="1"/>
  <cols>
    <col min="1" max="1" style="1704" width="9.140625"/>
  </cols>
  <sheetData>
    <row r="1" ht="12.75" customHeight="1">
      <c r="A1" s="62"/>
    </row>
  </sheetData>
  <sheetProtection autoFilter="0" deleteColumns="0" deleteRows="0" insertColumns="1" insertRows="0" sort="0"/>
  <pageMargins left="0.75" right="0.75" top="1" bottom="1" header="0.5" footer="0.5"/>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sheetPr>
  <sheetViews>
    <sheetView showGridLines="0" topLeftCell="A1" workbookViewId="0">
      <selection activeCell="A1" sqref="A1"/>
    </sheetView>
  </sheetViews>
  <sheetFormatPr defaultColWidth="9.140625" defaultRowHeight="11.25" customHeight="1"/>
  <cols>
    <col customWidth="1" min="1" max="1" style="1850" width="36.28125"/>
    <col customWidth="1" min="2" max="2" style="1850" width="21.140625"/>
  </cols>
  <sheetData>
    <row r="1" ht="11.25" customHeight="1">
      <c r="A1" s="67" t="s">
        <v>3981</v>
      </c>
      <c r="B1" s="67" t="s">
        <v>3982</v>
      </c>
    </row>
    <row r="2" ht="11.25" customHeight="1">
      <c r="A2" s="64" t="s">
        <v>3983</v>
      </c>
      <c r="B2" s="64" t="s">
        <v>3984</v>
      </c>
    </row>
    <row r="3" ht="11.25" customHeight="1">
      <c r="A3" s="64" t="s">
        <v>3985</v>
      </c>
      <c r="B3" s="64" t="s">
        <v>3986</v>
      </c>
    </row>
    <row r="4" ht="11.25" customHeight="1">
      <c r="A4" s="64" t="s">
        <v>3987</v>
      </c>
      <c r="B4" s="64" t="s">
        <v>3988</v>
      </c>
    </row>
    <row r="5" ht="11.25" customHeight="1">
      <c r="A5" s="64" t="s">
        <v>3989</v>
      </c>
      <c r="B5" s="64" t="s">
        <v>3990</v>
      </c>
    </row>
    <row r="6" ht="11.25" customHeight="1">
      <c r="A6" s="64" t="s">
        <v>3991</v>
      </c>
      <c r="B6" s="64" t="s">
        <v>3992</v>
      </c>
    </row>
    <row r="7" ht="11.25" customHeight="1">
      <c r="A7" s="64" t="s">
        <v>3993</v>
      </c>
      <c r="B7" s="64" t="s">
        <v>3994</v>
      </c>
    </row>
    <row r="8" ht="11.25" customHeight="1">
      <c r="A8" s="64" t="s">
        <v>3995</v>
      </c>
      <c r="B8" s="64" t="s">
        <v>3996</v>
      </c>
    </row>
    <row r="9" ht="11.25" customHeight="1">
      <c r="A9" s="64" t="s">
        <v>3997</v>
      </c>
      <c r="B9" s="64" t="s">
        <v>3998</v>
      </c>
    </row>
    <row r="10" ht="11.25" customHeight="1">
      <c r="A10" s="64" t="s">
        <v>3999</v>
      </c>
      <c r="B10" s="64" t="s">
        <v>4000</v>
      </c>
    </row>
    <row r="11" ht="11.25" customHeight="1">
      <c r="A11" s="64" t="s">
        <v>4001</v>
      </c>
      <c r="B11" s="64" t="s">
        <v>4002</v>
      </c>
    </row>
    <row r="12" ht="11.25" customHeight="1">
      <c r="A12" s="64" t="s">
        <v>4003</v>
      </c>
      <c r="B12" s="64" t="s">
        <v>4004</v>
      </c>
    </row>
    <row r="13" ht="11.25" customHeight="1">
      <c r="A13" s="64" t="s">
        <v>4005</v>
      </c>
      <c r="B13" s="64" t="s">
        <v>4006</v>
      </c>
    </row>
    <row r="14" ht="11.25" customHeight="1">
      <c r="A14" s="64" t="s">
        <v>4007</v>
      </c>
      <c r="B14" s="64" t="s">
        <v>4008</v>
      </c>
    </row>
    <row r="15" ht="11.25" customHeight="1">
      <c r="A15" s="64" t="s">
        <v>4009</v>
      </c>
      <c r="B15" s="64" t="s">
        <v>4010</v>
      </c>
    </row>
    <row r="16" ht="11.25" customHeight="1">
      <c r="A16" s="64" t="s">
        <v>4011</v>
      </c>
      <c r="B16" s="64" t="s">
        <v>4012</v>
      </c>
    </row>
    <row r="17" ht="11.25" customHeight="1">
      <c r="A17" s="64" t="s">
        <v>4013</v>
      </c>
      <c r="B17" s="64" t="s">
        <v>4014</v>
      </c>
    </row>
    <row r="18" ht="11.25" customHeight="1">
      <c r="A18" s="64" t="s">
        <v>4015</v>
      </c>
      <c r="B18" s="64" t="s">
        <v>4016</v>
      </c>
    </row>
    <row r="19" ht="11.25" customHeight="1">
      <c r="A19" s="64" t="s">
        <v>4017</v>
      </c>
      <c r="B19" s="64" t="s">
        <v>4018</v>
      </c>
    </row>
    <row r="20" ht="11.25" customHeight="1">
      <c r="A20" s="64" t="s">
        <v>4019</v>
      </c>
      <c r="B20" s="64" t="s">
        <v>4020</v>
      </c>
    </row>
    <row r="21" ht="11.25" customHeight="1">
      <c r="A21" s="64" t="s">
        <v>4021</v>
      </c>
      <c r="B21" s="64" t="s">
        <v>4022</v>
      </c>
    </row>
    <row r="22" ht="11.25" customHeight="1">
      <c r="A22" s="64" t="s">
        <v>4023</v>
      </c>
      <c r="B22" s="64" t="s">
        <v>4024</v>
      </c>
    </row>
    <row r="23" ht="11.25" customHeight="1">
      <c r="A23" s="64" t="s">
        <v>4025</v>
      </c>
      <c r="B23" s="64" t="s">
        <v>4026</v>
      </c>
    </row>
    <row r="24" ht="11.25" customHeight="1">
      <c r="A24" s="64" t="s">
        <v>4027</v>
      </c>
      <c r="B24" s="64" t="s">
        <v>4028</v>
      </c>
    </row>
    <row r="25" ht="11.25" customHeight="1">
      <c r="A25" s="64" t="s">
        <v>4029</v>
      </c>
      <c r="B25" s="64" t="s">
        <v>4030</v>
      </c>
    </row>
    <row r="26" ht="11.25" customHeight="1">
      <c r="A26" s="64" t="s">
        <v>4031</v>
      </c>
      <c r="B26" s="64" t="s">
        <v>4032</v>
      </c>
    </row>
    <row r="27" ht="11.25" customHeight="1">
      <c r="A27" s="64" t="s">
        <v>4033</v>
      </c>
      <c r="B27" s="64" t="s">
        <v>4034</v>
      </c>
    </row>
    <row r="28" ht="11.25" customHeight="1">
      <c r="A28" s="64" t="s">
        <v>4035</v>
      </c>
      <c r="B28" s="64" t="s">
        <v>4036</v>
      </c>
    </row>
    <row r="29" ht="11.25" customHeight="1">
      <c r="A29" s="64" t="s">
        <v>4037</v>
      </c>
      <c r="B29" s="64" t="s">
        <v>4038</v>
      </c>
    </row>
    <row r="30" ht="11.25" customHeight="1">
      <c r="A30" s="64" t="s">
        <v>4039</v>
      </c>
      <c r="B30" s="64" t="s">
        <v>4040</v>
      </c>
    </row>
    <row r="31" ht="11.25" customHeight="1">
      <c r="A31" s="64" t="s">
        <v>4041</v>
      </c>
      <c r="B31" s="64" t="s">
        <v>4042</v>
      </c>
    </row>
    <row r="32" ht="11.25" customHeight="1">
      <c r="A32" s="64" t="s">
        <v>4043</v>
      </c>
      <c r="B32" s="64" t="s">
        <v>4044</v>
      </c>
    </row>
    <row r="33" ht="11.25" customHeight="1">
      <c r="A33" s="64" t="s">
        <v>4045</v>
      </c>
      <c r="B33" s="64" t="s">
        <v>4046</v>
      </c>
    </row>
    <row r="34" ht="11.25" customHeight="1">
      <c r="A34" s="64" t="s">
        <v>4047</v>
      </c>
      <c r="B34" s="64" t="s">
        <v>4048</v>
      </c>
    </row>
    <row r="35" ht="11.25" customHeight="1">
      <c r="A35" s="64" t="s">
        <v>4049</v>
      </c>
      <c r="B35" s="64" t="s">
        <v>4050</v>
      </c>
    </row>
    <row r="36" ht="11.25" customHeight="1">
      <c r="A36" s="64" t="s">
        <v>4051</v>
      </c>
      <c r="B36" s="64" t="s">
        <v>4052</v>
      </c>
    </row>
    <row r="37" ht="11.25" customHeight="1">
      <c r="A37" s="64" t="s">
        <v>4053</v>
      </c>
      <c r="B37" s="64" t="s">
        <v>4054</v>
      </c>
    </row>
    <row r="38" ht="11.25" customHeight="1">
      <c r="A38" s="64" t="s">
        <v>4055</v>
      </c>
      <c r="B38" s="64" t="s">
        <v>4056</v>
      </c>
    </row>
    <row r="39" ht="11.25" customHeight="1">
      <c r="A39" s="64" t="s">
        <v>4057</v>
      </c>
      <c r="B39" s="64" t="s">
        <v>4058</v>
      </c>
    </row>
    <row r="40" ht="11.25" customHeight="1">
      <c r="A40" s="64" t="s">
        <v>4059</v>
      </c>
      <c r="B40" s="64" t="s">
        <v>4060</v>
      </c>
    </row>
    <row r="41" ht="11.25" customHeight="1">
      <c r="A41" s="64" t="s">
        <v>4061</v>
      </c>
      <c r="B41" s="64" t="s">
        <v>4062</v>
      </c>
    </row>
    <row r="42" ht="11.25" customHeight="1">
      <c r="A42" s="64" t="s">
        <v>4063</v>
      </c>
      <c r="B42" s="64" t="s">
        <v>4064</v>
      </c>
    </row>
    <row r="43" ht="11.25" customHeight="1">
      <c r="A43" s="64" t="s">
        <v>4065</v>
      </c>
      <c r="B43" s="64" t="s">
        <v>4066</v>
      </c>
    </row>
    <row r="44" ht="11.25" customHeight="1">
      <c r="A44" s="64" t="s">
        <v>4067</v>
      </c>
      <c r="B44" s="64" t="s">
        <v>4068</v>
      </c>
    </row>
    <row r="45" ht="11.25" customHeight="1">
      <c r="A45" s="64" t="s">
        <v>4069</v>
      </c>
      <c r="B45" s="64" t="s">
        <v>4070</v>
      </c>
    </row>
    <row r="46" ht="11.25" customHeight="1">
      <c r="A46" s="64" t="s">
        <v>4071</v>
      </c>
      <c r="B46" s="64" t="s">
        <v>4072</v>
      </c>
    </row>
    <row r="47" ht="11.25" customHeight="1">
      <c r="A47" s="64" t="s">
        <v>4073</v>
      </c>
      <c r="B47" s="64" t="s">
        <v>4074</v>
      </c>
    </row>
    <row r="48" ht="11.25" customHeight="1">
      <c r="A48" s="64" t="s">
        <v>4075</v>
      </c>
      <c r="B48" s="64" t="s">
        <v>4076</v>
      </c>
    </row>
    <row r="49" ht="11.25" customHeight="1">
      <c r="A49" s="64" t="s">
        <v>4077</v>
      </c>
      <c r="B49" s="64" t="s">
        <v>4078</v>
      </c>
    </row>
    <row r="50" ht="11.25" customHeight="1">
      <c r="A50" s="64" t="s">
        <v>4079</v>
      </c>
      <c r="B50" s="64" t="s">
        <v>4080</v>
      </c>
    </row>
    <row r="51" ht="11.25" customHeight="1">
      <c r="A51" s="64" t="s">
        <v>4081</v>
      </c>
      <c r="B51" s="64" t="s">
        <v>4082</v>
      </c>
    </row>
    <row r="52" ht="11.25" customHeight="1">
      <c r="A52" s="64" t="s">
        <v>4083</v>
      </c>
      <c r="B52" s="64" t="s">
        <v>4084</v>
      </c>
    </row>
    <row r="53" ht="11.25" customHeight="1">
      <c r="A53" s="64" t="s">
        <v>4085</v>
      </c>
      <c r="B53" s="64" t="s">
        <v>4086</v>
      </c>
    </row>
    <row r="54" ht="11.25" customHeight="1">
      <c r="A54" s="64" t="s">
        <v>4087</v>
      </c>
      <c r="B54" s="64" t="s">
        <v>4088</v>
      </c>
    </row>
    <row r="55" ht="11.25" customHeight="1">
      <c r="A55" s="64" t="s">
        <v>4089</v>
      </c>
      <c r="B55" s="64" t="s">
        <v>4090</v>
      </c>
    </row>
    <row r="56" ht="11.25" customHeight="1">
      <c r="A56" s="64" t="s">
        <v>4091</v>
      </c>
      <c r="B56" s="64" t="s">
        <v>4092</v>
      </c>
    </row>
    <row r="57" ht="11.25" customHeight="1">
      <c r="A57" s="64" t="s">
        <v>4093</v>
      </c>
      <c r="B57" s="64" t="s">
        <v>4094</v>
      </c>
    </row>
    <row r="58" ht="11.25" customHeight="1">
      <c r="A58" s="64" t="s">
        <v>4095</v>
      </c>
      <c r="B58" s="64" t="s">
        <v>4096</v>
      </c>
    </row>
    <row r="59" ht="11.25" customHeight="1">
      <c r="A59" s="64" t="s">
        <v>4097</v>
      </c>
      <c r="B59" s="64" t="s">
        <v>4098</v>
      </c>
    </row>
    <row r="60" ht="11.25" customHeight="1">
      <c r="A60" s="64" t="s">
        <v>4099</v>
      </c>
      <c r="B60" s="64" t="s">
        <v>4100</v>
      </c>
    </row>
    <row r="61" ht="11.25" customHeight="1">
      <c r="A61" s="64"/>
      <c r="B61" s="64" t="s">
        <v>4101</v>
      </c>
    </row>
    <row r="62" ht="11.25" customHeight="1">
      <c r="A62" s="64"/>
      <c r="B62" s="64" t="s">
        <v>4102</v>
      </c>
    </row>
    <row r="63" ht="11.25" customHeight="1">
      <c r="A63" s="64"/>
      <c r="B63" s="64" t="s">
        <v>4103</v>
      </c>
    </row>
    <row r="64" ht="11.25" customHeight="1">
      <c r="A64" s="64"/>
      <c r="B64" s="64" t="s">
        <v>4104</v>
      </c>
    </row>
    <row r="65" ht="11.25" customHeight="1">
      <c r="A65" s="64"/>
      <c r="B65" s="64" t="s">
        <v>4105</v>
      </c>
    </row>
    <row r="66" ht="11.25" customHeight="1">
      <c r="A66" s="64"/>
      <c r="B66" s="64" t="s">
        <v>4106</v>
      </c>
    </row>
    <row r="67" ht="11.25" customHeight="1">
      <c r="A67" s="64"/>
      <c r="B67" s="64" t="s">
        <v>4107</v>
      </c>
    </row>
    <row r="68" ht="11.25" customHeight="1">
      <c r="A68" s="64"/>
      <c r="B68" s="64" t="s">
        <v>4108</v>
      </c>
    </row>
    <row r="69" ht="11.25" customHeight="1">
      <c r="A69" s="64"/>
      <c r="B69" s="64" t="s">
        <v>4109</v>
      </c>
    </row>
    <row r="70" ht="11.25" customHeight="1">
      <c r="A70" s="64"/>
      <c r="B70" s="64" t="s">
        <v>4110</v>
      </c>
    </row>
    <row r="71" ht="11.25" customHeight="1">
      <c r="A71" s="64"/>
      <c r="B71" s="64"/>
    </row>
    <row r="72" ht="11.25" customHeight="1">
      <c r="A72" s="64"/>
      <c r="B72" s="64"/>
    </row>
    <row r="73" ht="11.25" customHeight="1">
      <c r="A73" s="64"/>
      <c r="B73" s="64"/>
    </row>
    <row r="74" ht="11.25" customHeight="1">
      <c r="A74" s="64"/>
      <c r="B74" s="64"/>
    </row>
    <row r="75" ht="11.25" customHeight="1">
      <c r="A75" s="64"/>
      <c r="B75" s="64"/>
    </row>
    <row r="76" ht="11.25" customHeight="1">
      <c r="A76" s="64"/>
      <c r="B76" s="64"/>
    </row>
    <row r="77" ht="11.25" customHeight="1">
      <c r="A77" s="64"/>
      <c r="B77" s="64"/>
    </row>
    <row r="78" ht="11.25" customHeight="1">
      <c r="A78" s="64"/>
      <c r="B78" s="64"/>
    </row>
    <row r="79" ht="11.25" customHeight="1">
      <c r="A79" s="64"/>
      <c r="B79" s="64"/>
    </row>
    <row r="80" ht="11.25" customHeight="1">
      <c r="A80" s="64"/>
      <c r="B80" s="64"/>
    </row>
    <row r="81" ht="11.25" customHeight="1">
      <c r="A81" s="64"/>
      <c r="B81" s="64"/>
    </row>
    <row r="82" ht="11.25" customHeight="1">
      <c r="A82" s="64"/>
      <c r="B82" s="64"/>
    </row>
    <row r="83" ht="11.25" customHeight="1">
      <c r="A83" s="64"/>
      <c r="B83" s="64"/>
    </row>
    <row r="84" ht="11.25" customHeight="1">
      <c r="A84" s="64"/>
      <c r="B84" s="64"/>
    </row>
    <row r="85" ht="11.25" customHeight="1">
      <c r="A85" s="64"/>
      <c r="B85" s="64"/>
    </row>
    <row r="86" ht="11.25" customHeight="1">
      <c r="A86" s="64"/>
      <c r="B86" s="64"/>
    </row>
    <row r="87" ht="11.25" customHeight="1">
      <c r="A87" s="64"/>
      <c r="B87" s="64"/>
    </row>
    <row r="88" ht="11.25" customHeight="1">
      <c r="A88" s="64"/>
      <c r="B88" s="64"/>
    </row>
    <row r="89" ht="11.25" customHeight="1">
      <c r="A89" s="64"/>
      <c r="B89" s="64"/>
    </row>
    <row r="90" ht="11.25" customHeight="1">
      <c r="A90" s="64"/>
      <c r="B90" s="64"/>
    </row>
    <row r="91" ht="11.25" customHeight="1">
      <c r="A91" s="64"/>
      <c r="B91" s="64"/>
    </row>
    <row r="92" ht="11.25" customHeight="1">
      <c r="A92" s="64"/>
      <c r="B92" s="64"/>
    </row>
    <row r="93" ht="11.25" customHeight="1">
      <c r="A93" s="64"/>
      <c r="B93" s="64"/>
    </row>
    <row r="94" ht="11.25" customHeight="1">
      <c r="A94" s="64"/>
      <c r="B94" s="64"/>
    </row>
    <row r="95" ht="11.25" customHeight="1">
      <c r="A95" s="64"/>
      <c r="B95" s="64"/>
    </row>
    <row r="96" ht="11.25" customHeight="1">
      <c r="A96" s="64"/>
      <c r="B96" s="64"/>
    </row>
    <row r="97" ht="11.25" customHeight="1">
      <c r="A97" s="64"/>
      <c r="B97" s="64"/>
    </row>
    <row r="98" ht="11.25" customHeight="1">
      <c r="A98" s="64"/>
      <c r="B98" s="64"/>
    </row>
    <row r="99" ht="11.25" customHeight="1">
      <c r="A99" s="64"/>
      <c r="B99" s="64"/>
    </row>
    <row r="100" ht="11.25" customHeight="1">
      <c r="A100" s="64"/>
      <c r="B100" s="64"/>
    </row>
    <row r="101" ht="11.25" customHeight="1">
      <c r="A101" s="64"/>
      <c r="B101" s="64"/>
    </row>
    <row r="102" ht="11.25" customHeight="1">
      <c r="A102" s="64"/>
      <c r="B102" s="64"/>
    </row>
    <row r="103" ht="11.25" customHeight="1">
      <c r="A103" s="64"/>
      <c r="B103" s="64"/>
    </row>
    <row r="104" ht="11.25" customHeight="1">
      <c r="A104" s="64"/>
      <c r="B104" s="64"/>
    </row>
    <row r="105" ht="11.25" customHeight="1">
      <c r="A105" s="64"/>
      <c r="B105" s="64"/>
    </row>
    <row r="106" ht="11.25" customHeight="1">
      <c r="A106" s="64"/>
      <c r="B106" s="64"/>
    </row>
    <row r="107" ht="11.25" customHeight="1">
      <c r="A107" s="64"/>
      <c r="B107" s="64"/>
    </row>
    <row r="108" ht="11.25" customHeight="1">
      <c r="A108" s="64"/>
      <c r="B108" s="64"/>
    </row>
    <row r="109" ht="11.25" customHeight="1">
      <c r="A109" s="64"/>
      <c r="B109" s="64"/>
    </row>
    <row r="110" ht="11.25" customHeight="1">
      <c r="A110" s="64"/>
      <c r="B110" s="64"/>
    </row>
    <row r="111" ht="11.25" customHeight="1">
      <c r="A111" s="64"/>
      <c r="B111" s="64"/>
    </row>
    <row r="112" ht="11.25" customHeight="1">
      <c r="A112" s="64"/>
      <c r="B112" s="64"/>
    </row>
    <row r="113" ht="11.25" customHeight="1">
      <c r="A113" s="64"/>
      <c r="B113" s="64"/>
    </row>
    <row r="114" ht="11.25" customHeight="1">
      <c r="A114" s="64"/>
      <c r="B114" s="64"/>
    </row>
    <row r="115" ht="11.25" customHeight="1">
      <c r="A115" s="64"/>
      <c r="B115" s="64"/>
    </row>
    <row r="116" ht="11.25" customHeight="1">
      <c r="A116" s="64"/>
      <c r="B116" s="64"/>
    </row>
    <row r="117" ht="11.25" customHeight="1">
      <c r="A117" s="64"/>
      <c r="B117" s="64"/>
    </row>
    <row r="118" ht="11.25" customHeight="1">
      <c r="A118" s="64"/>
      <c r="B118" s="64"/>
    </row>
    <row r="119" ht="11.25" customHeight="1">
      <c r="A119" s="64"/>
      <c r="B119" s="64"/>
    </row>
    <row r="120" ht="11.25" customHeight="1">
      <c r="A120" s="64"/>
      <c r="B120" s="64"/>
    </row>
    <row r="121" ht="11.25" customHeight="1">
      <c r="A121" s="64"/>
      <c r="B121" s="64"/>
    </row>
    <row r="122" ht="11.25" customHeight="1">
      <c r="A122" s="64"/>
      <c r="B122" s="64"/>
    </row>
    <row r="123" ht="11.25" customHeight="1">
      <c r="A123" s="64"/>
      <c r="B123" s="64"/>
    </row>
    <row r="124" ht="11.25" customHeight="1">
      <c r="A124" s="64"/>
      <c r="B124" s="64"/>
    </row>
    <row r="125" ht="11.25" customHeight="1">
      <c r="A125" s="64"/>
      <c r="B125" s="64"/>
    </row>
    <row r="126" ht="11.25" customHeight="1">
      <c r="A126" s="64"/>
      <c r="B126" s="64"/>
    </row>
    <row r="127" ht="11.25" customHeight="1">
      <c r="A127" s="64"/>
      <c r="B127" s="64"/>
    </row>
    <row r="128" ht="11.25" customHeight="1">
      <c r="A128" s="64"/>
      <c r="B128" s="64"/>
    </row>
    <row r="129" ht="11.25" customHeight="1">
      <c r="A129" s="64"/>
      <c r="B129" s="64"/>
    </row>
    <row r="130" ht="11.25" customHeight="1">
      <c r="A130" s="64"/>
      <c r="B130" s="64"/>
    </row>
    <row r="131" ht="11.25" customHeight="1">
      <c r="A131" s="64"/>
      <c r="B131" s="64"/>
    </row>
    <row r="132" ht="11.25" customHeight="1">
      <c r="A132" s="64"/>
      <c r="B132" s="64"/>
    </row>
    <row r="133" ht="11.25" customHeight="1">
      <c r="A133" s="64"/>
      <c r="B133" s="64"/>
    </row>
    <row r="134" ht="11.25" customHeight="1">
      <c r="A134" s="64"/>
      <c r="B134" s="64"/>
    </row>
    <row r="135" ht="11.25" customHeight="1">
      <c r="A135" s="64"/>
      <c r="B135" s="64"/>
    </row>
    <row r="136" ht="11.25" customHeight="1">
      <c r="A136" s="64"/>
      <c r="B136" s="64"/>
    </row>
    <row r="137" ht="11.25" customHeight="1">
      <c r="A137" s="64"/>
      <c r="B137" s="64"/>
    </row>
    <row r="138" ht="11.25" customHeight="1">
      <c r="A138" s="64"/>
      <c r="B138" s="64"/>
    </row>
    <row r="139" ht="11.25" customHeight="1">
      <c r="A139" s="64"/>
      <c r="B139" s="64"/>
    </row>
    <row r="140" ht="11.25" customHeight="1">
      <c r="A140" s="64"/>
      <c r="B140" s="64"/>
    </row>
    <row r="141" ht="11.25" customHeight="1">
      <c r="A141" s="64"/>
      <c r="B141" s="64"/>
    </row>
    <row r="142" ht="11.25" customHeight="1">
      <c r="A142" s="64"/>
      <c r="B142" s="64"/>
    </row>
    <row r="143" ht="11.25" customHeight="1">
      <c r="A143" s="64"/>
      <c r="B143" s="64"/>
    </row>
    <row r="144" ht="11.25" customHeight="1">
      <c r="A144" s="64"/>
      <c r="B144" s="64"/>
    </row>
    <row r="145" ht="11.25" customHeight="1">
      <c r="A145" s="64"/>
      <c r="B145" s="64"/>
    </row>
    <row r="146" ht="11.25" customHeight="1">
      <c r="A146" s="64"/>
      <c r="B146" s="64"/>
    </row>
    <row r="147" ht="11.25" customHeight="1">
      <c r="A147" s="64"/>
      <c r="B147" s="64"/>
    </row>
    <row r="148" ht="11.25" customHeight="1">
      <c r="A148" s="64"/>
      <c r="B148" s="64"/>
    </row>
    <row r="149" ht="11.25" customHeight="1">
      <c r="A149" s="64"/>
      <c r="B149" s="64"/>
    </row>
    <row r="150" ht="11.25" customHeight="1">
      <c r="A150" s="64"/>
      <c r="B150" s="64"/>
    </row>
    <row r="151" ht="11.25" customHeight="1">
      <c r="A151" s="64"/>
      <c r="B151" s="64"/>
    </row>
    <row r="152" ht="11.25" customHeight="1">
      <c r="A152" s="64"/>
      <c r="B152" s="64"/>
    </row>
    <row r="153" ht="11.25" customHeight="1">
      <c r="A153" s="64"/>
      <c r="B153" s="64"/>
    </row>
    <row r="154" ht="11.25" customHeight="1">
      <c r="A154" s="64"/>
      <c r="B154" s="64"/>
    </row>
    <row r="155" ht="11.25" customHeight="1">
      <c r="A155" s="64"/>
      <c r="B155" s="64"/>
    </row>
    <row r="156" ht="11.25" customHeight="1">
      <c r="A156" s="64"/>
      <c r="B156" s="64"/>
    </row>
    <row r="157" ht="11.25" customHeight="1">
      <c r="A157" s="64"/>
      <c r="B157" s="64"/>
    </row>
    <row r="158" ht="11.25" customHeight="1">
      <c r="A158" s="64"/>
      <c r="B158" s="64"/>
    </row>
    <row r="159" ht="11.25" customHeight="1">
      <c r="A159" s="64"/>
      <c r="B159" s="64"/>
    </row>
    <row r="160" ht="11.25" customHeight="1">
      <c r="A160" s="64"/>
      <c r="B160" s="64"/>
    </row>
    <row r="161" ht="11.25" customHeight="1">
      <c r="A161" s="64"/>
      <c r="B161" s="64"/>
    </row>
    <row r="162" ht="11.25" customHeight="1">
      <c r="A162" s="64"/>
      <c r="B162" s="64"/>
    </row>
    <row r="163" ht="11.25" customHeight="1">
      <c r="A163" s="64"/>
      <c r="B163" s="64"/>
    </row>
    <row r="164" ht="11.25" customHeight="1">
      <c r="A164" s="64"/>
      <c r="B164" s="64"/>
    </row>
    <row r="165" ht="11.25" customHeight="1">
      <c r="A165" s="64"/>
      <c r="B165" s="64"/>
    </row>
    <row r="166" ht="11.25" customHeight="1">
      <c r="A166" s="64"/>
      <c r="B166" s="64"/>
    </row>
    <row r="167" ht="11.25" customHeight="1">
      <c r="A167" s="64"/>
      <c r="B167" s="64"/>
    </row>
    <row r="168" ht="11.25" customHeight="1">
      <c r="A168" s="64"/>
      <c r="B168" s="64"/>
    </row>
    <row r="169" ht="11.25" customHeight="1">
      <c r="A169" s="64"/>
      <c r="B169" s="64"/>
    </row>
    <row r="170" ht="11.25" customHeight="1">
      <c r="A170" s="64"/>
      <c r="B170" s="64"/>
    </row>
    <row r="171" ht="11.25" customHeight="1">
      <c r="A171" s="64"/>
      <c r="B171" s="64"/>
    </row>
    <row r="172" ht="11.25" customHeight="1">
      <c r="A172" s="64"/>
      <c r="B172" s="64"/>
    </row>
    <row r="173" ht="11.25" customHeight="1">
      <c r="A173" s="64"/>
      <c r="B173" s="64"/>
    </row>
    <row r="174" ht="11.25" customHeight="1">
      <c r="A174" s="64"/>
      <c r="B174" s="64"/>
    </row>
    <row r="175" ht="11.25" customHeight="1">
      <c r="A175" s="64"/>
      <c r="B175" s="64"/>
    </row>
    <row r="176" ht="11.25" customHeight="1">
      <c r="A176" s="64"/>
      <c r="B176" s="64"/>
    </row>
    <row r="177" ht="11.25" customHeight="1">
      <c r="A177" s="64"/>
      <c r="B177" s="64"/>
    </row>
    <row r="178" ht="11.25" customHeight="1">
      <c r="A178" s="64"/>
      <c r="B178" s="64"/>
    </row>
    <row r="179" ht="11.25" customHeight="1">
      <c r="A179" s="64"/>
      <c r="B179" s="64"/>
    </row>
    <row r="180" ht="11.25" customHeight="1">
      <c r="A180" s="64"/>
      <c r="B180" s="64"/>
    </row>
    <row r="181" ht="11.25" customHeight="1">
      <c r="A181" s="64"/>
      <c r="B181" s="64"/>
    </row>
    <row r="182" ht="11.25" customHeight="1">
      <c r="A182" s="64"/>
      <c r="B182" s="64"/>
    </row>
    <row r="183" ht="11.25" customHeight="1">
      <c r="A183" s="64"/>
      <c r="B183" s="64"/>
    </row>
    <row r="184" ht="11.25" customHeight="1">
      <c r="A184" s="64"/>
      <c r="B184" s="64"/>
    </row>
    <row r="185" ht="11.25" customHeight="1">
      <c r="A185" s="64"/>
      <c r="B185" s="64"/>
    </row>
    <row r="186" ht="11.25" customHeight="1">
      <c r="A186" s="64"/>
      <c r="B186" s="64"/>
    </row>
    <row r="187" ht="11.25" customHeight="1">
      <c r="A187" s="64"/>
      <c r="B187" s="64"/>
    </row>
    <row r="188" ht="11.25" customHeight="1">
      <c r="A188" s="64"/>
      <c r="B188" s="64"/>
    </row>
    <row r="189" ht="11.25" customHeight="1">
      <c r="A189" s="64"/>
      <c r="B189" s="64"/>
    </row>
    <row r="190" ht="11.25" customHeight="1">
      <c r="A190" s="64"/>
      <c r="B190" s="64"/>
    </row>
    <row r="191" ht="11.25" customHeight="1">
      <c r="A191" s="64"/>
      <c r="B191" s="64"/>
    </row>
    <row r="192" ht="11.25" customHeight="1">
      <c r="A192" s="64"/>
      <c r="B192" s="64"/>
    </row>
    <row r="193" ht="11.25" customHeight="1">
      <c r="A193" s="64"/>
      <c r="B193" s="64"/>
    </row>
    <row r="194" ht="11.25" customHeight="1">
      <c r="A194" s="64"/>
      <c r="B194" s="64"/>
    </row>
    <row r="195" ht="11.25" customHeight="1">
      <c r="A195" s="64"/>
      <c r="B195" s="64"/>
    </row>
    <row r="196" ht="11.25" customHeight="1">
      <c r="A196" s="64"/>
      <c r="B196" s="64"/>
    </row>
    <row r="197" ht="11.25" customHeight="1">
      <c r="A197" s="64"/>
      <c r="B197" s="64"/>
    </row>
    <row r="198" ht="11.25" customHeight="1">
      <c r="A198" s="64"/>
      <c r="B198" s="64"/>
    </row>
    <row r="199" ht="11.25" customHeight="1">
      <c r="A199" s="64"/>
      <c r="B199" s="64"/>
    </row>
    <row r="200" ht="11.25" customHeight="1">
      <c r="A200" s="64"/>
      <c r="B200" s="64"/>
    </row>
    <row r="201" ht="11.25" customHeight="1">
      <c r="A201" s="64"/>
      <c r="B201" s="64"/>
    </row>
    <row r="202" ht="11.25" customHeight="1">
      <c r="A202" s="64"/>
      <c r="B202" s="64"/>
    </row>
    <row r="203" ht="11.25" customHeight="1">
      <c r="A203" s="64"/>
      <c r="B203" s="64"/>
    </row>
    <row r="204" ht="11.25" customHeight="1">
      <c r="A204" s="64"/>
      <c r="B204" s="64"/>
    </row>
    <row r="205" ht="11.25" customHeight="1">
      <c r="A205" s="64"/>
      <c r="B205" s="64"/>
    </row>
    <row r="206" ht="11.25" customHeight="1">
      <c r="A206" s="64"/>
      <c r="B206" s="64"/>
    </row>
    <row r="207" ht="11.25" customHeight="1">
      <c r="A207" s="64"/>
      <c r="B207" s="64"/>
    </row>
    <row r="208" ht="11.25" customHeight="1">
      <c r="A208" s="64"/>
      <c r="B208" s="64"/>
    </row>
    <row r="209" ht="11.25" customHeight="1">
      <c r="A209" s="64"/>
      <c r="B209" s="64"/>
    </row>
    <row r="210" ht="11.25" customHeight="1">
      <c r="A210" s="64"/>
      <c r="B210" s="64"/>
    </row>
    <row r="211" ht="11.25" customHeight="1">
      <c r="A211" s="64"/>
      <c r="B211" s="64"/>
    </row>
    <row r="212" ht="11.25" customHeight="1">
      <c r="A212" s="64"/>
      <c r="B212" s="64"/>
    </row>
    <row r="213" ht="11.25" customHeight="1">
      <c r="A213" s="64"/>
      <c r="B213" s="64"/>
    </row>
    <row r="214" ht="11.25" customHeight="1">
      <c r="A214" s="64"/>
      <c r="B214" s="64"/>
    </row>
    <row r="215" ht="11.25" customHeight="1">
      <c r="A215" s="64"/>
      <c r="B215" s="64"/>
    </row>
    <row r="216" ht="11.25" customHeight="1">
      <c r="A216" s="64"/>
      <c r="B216" s="64"/>
    </row>
    <row r="217" ht="11.25" customHeight="1">
      <c r="A217" s="64"/>
      <c r="B217" s="64"/>
    </row>
    <row r="218" ht="11.25" customHeight="1">
      <c r="A218" s="64"/>
      <c r="B218" s="64"/>
    </row>
    <row r="219" ht="11.25" customHeight="1">
      <c r="A219" s="64"/>
      <c r="B219" s="64"/>
    </row>
    <row r="220" ht="11.25" customHeight="1">
      <c r="A220" s="64"/>
      <c r="B220" s="64"/>
    </row>
    <row r="221" ht="11.25" customHeight="1">
      <c r="A221" s="64"/>
      <c r="B221" s="64"/>
    </row>
    <row r="222" ht="11.25" customHeight="1">
      <c r="A222" s="64"/>
      <c r="B222" s="64"/>
    </row>
    <row r="223" ht="11.25" customHeight="1">
      <c r="A223" s="64"/>
      <c r="B223" s="64"/>
    </row>
    <row r="224" ht="11.25" customHeight="1">
      <c r="A224" s="64"/>
      <c r="B224" s="64"/>
    </row>
    <row r="225" ht="11.25" customHeight="1">
      <c r="A225" s="64"/>
      <c r="B225" s="64"/>
    </row>
    <row r="226" ht="11.25" customHeight="1">
      <c r="A226" s="64"/>
      <c r="B226" s="64"/>
    </row>
    <row r="227" ht="11.25" customHeight="1">
      <c r="A227" s="64"/>
      <c r="B227" s="64"/>
    </row>
    <row r="228" ht="11.25" customHeight="1">
      <c r="A228" s="64"/>
      <c r="B228" s="64"/>
    </row>
    <row r="229" ht="11.25" customHeight="1">
      <c r="A229" s="64"/>
      <c r="B229" s="64"/>
    </row>
    <row r="230" ht="11.25" customHeight="1">
      <c r="A230" s="64"/>
      <c r="B230" s="64"/>
    </row>
    <row r="231" ht="11.25" customHeight="1">
      <c r="A231" s="64"/>
      <c r="B231" s="64"/>
    </row>
    <row r="232" ht="11.25" customHeight="1">
      <c r="A232" s="64"/>
      <c r="B232" s="64"/>
    </row>
    <row r="233" ht="11.25" customHeight="1">
      <c r="A233" s="64"/>
      <c r="B233" s="64"/>
    </row>
    <row r="234" ht="11.25" customHeight="1">
      <c r="A234" s="64"/>
      <c r="B234" s="64"/>
    </row>
    <row r="235" ht="11.25" customHeight="1">
      <c r="A235" s="64"/>
      <c r="B235" s="64"/>
    </row>
    <row r="236" ht="11.25" customHeight="1">
      <c r="A236" s="64"/>
      <c r="B236" s="64"/>
    </row>
    <row r="237" ht="11.25" customHeight="1">
      <c r="A237" s="64"/>
      <c r="B237" s="64"/>
    </row>
    <row r="238" ht="11.25" customHeight="1">
      <c r="A238" s="64"/>
      <c r="B238" s="64"/>
    </row>
    <row r="239" ht="11.25" customHeight="1">
      <c r="A239" s="64"/>
      <c r="B239" s="64"/>
    </row>
    <row r="240" ht="11.25" customHeight="1">
      <c r="A240" s="64"/>
      <c r="B240" s="64"/>
    </row>
    <row r="241" ht="11.25" customHeight="1">
      <c r="A241" s="64"/>
      <c r="B241" s="64"/>
    </row>
    <row r="242" ht="11.25" customHeight="1">
      <c r="A242" s="64"/>
      <c r="B242" s="64"/>
    </row>
    <row r="243" ht="11.25" customHeight="1">
      <c r="A243" s="64"/>
      <c r="B243" s="64"/>
    </row>
    <row r="244" ht="11.25" customHeight="1">
      <c r="A244" s="64"/>
      <c r="B244" s="64"/>
    </row>
    <row r="245" ht="11.25" customHeight="1">
      <c r="A245" s="64"/>
      <c r="B245" s="64"/>
    </row>
    <row r="246" ht="11.25" customHeight="1">
      <c r="A246" s="64"/>
      <c r="B246" s="64"/>
    </row>
    <row r="247" ht="11.25" customHeight="1">
      <c r="A247" s="64"/>
      <c r="B247" s="64"/>
    </row>
    <row r="248" ht="11.25" customHeight="1">
      <c r="A248" s="64"/>
      <c r="B248" s="64"/>
    </row>
    <row r="249" ht="11.25" customHeight="1">
      <c r="A249" s="64"/>
      <c r="B249" s="64"/>
    </row>
    <row r="250" ht="11.25" customHeight="1">
      <c r="A250" s="64"/>
      <c r="B250" s="64"/>
    </row>
    <row r="251" ht="11.25" customHeight="1">
      <c r="A251" s="64"/>
      <c r="B251" s="64"/>
    </row>
    <row r="252" ht="11.25" customHeight="1">
      <c r="A252" s="64"/>
      <c r="B252" s="64"/>
    </row>
    <row r="253" ht="11.25" customHeight="1">
      <c r="A253" s="64"/>
      <c r="B253" s="64"/>
    </row>
  </sheetData>
  <sheetProtection autoFilter="0" deleteColumns="0" deleteRows="0" formatColumns="0" formatRows="0" insertColumns="1" insertRows="0" sort="0"/>
  <pageMargins left="0.75" right="0.75" top="1" bottom="1" header="0.5" footer="0.5"/>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sheetPr>
  <sheetViews>
    <sheetView showGridLines="0" topLeftCell="A1" workbookViewId="0">
      <selection activeCell="A1" sqref="A1"/>
    </sheetView>
  </sheetViews>
  <sheetFormatPr defaultColWidth="9.140625" defaultRowHeight="11.25" customHeight="1"/>
  <cols>
    <col customWidth="1" min="1" max="1" style="1850" width="3.7109375"/>
    <col customWidth="1" min="2" max="2" style="1850" width="90.7109375"/>
    <col min="3" max="4" style="1850" width="9.140625"/>
  </cols>
  <sheetData>
    <row r="1" ht="11.25" customHeight="1">
      <c r="B1" s="93" t="s">
        <v>4111</v>
      </c>
    </row>
    <row r="2" ht="90" customHeight="1">
      <c r="B2" s="94" t="s">
        <v>4112</v>
      </c>
    </row>
    <row r="3" ht="67.5" customHeight="1">
      <c r="B3" s="94" t="s">
        <v>4113</v>
      </c>
    </row>
    <row r="4" ht="33.75" customHeight="1">
      <c r="B4" s="94" t="s">
        <v>4114</v>
      </c>
    </row>
    <row r="5" ht="11.25" customHeight="1">
      <c r="B5" s="94" t="s">
        <v>4115</v>
      </c>
    </row>
    <row r="6" ht="22.5" customHeight="1">
      <c r="B6" s="94" t="s">
        <v>4116</v>
      </c>
    </row>
    <row r="7" ht="22.5" customHeight="1">
      <c r="B7" s="94" t="s">
        <v>4117</v>
      </c>
    </row>
    <row r="8" ht="22.5" customHeight="1">
      <c r="B8" s="94" t="s">
        <v>4118</v>
      </c>
    </row>
    <row r="9" ht="22.5" customHeight="1">
      <c r="B9" s="94" t="s">
        <v>4119</v>
      </c>
    </row>
    <row r="10" ht="56.25" customHeight="1">
      <c r="B10" s="94" t="s">
        <v>4120</v>
      </c>
    </row>
    <row r="11" ht="12.75" customHeight="1">
      <c r="B11" s="159" t="s">
        <v>4121</v>
      </c>
    </row>
    <row r="12" ht="11.25" customHeight="1">
      <c r="B12" s="93" t="s">
        <v>4122</v>
      </c>
    </row>
    <row r="13" ht="22.5" customHeight="1">
      <c r="B13" s="94" t="s">
        <v>4123</v>
      </c>
    </row>
    <row r="14" ht="67.5" customHeight="1">
      <c r="B14" s="94" t="s">
        <v>4124</v>
      </c>
    </row>
    <row r="15" ht="22.5" customHeight="1">
      <c r="B15" s="94" t="s">
        <v>4125</v>
      </c>
    </row>
    <row r="16" ht="11.25" customHeight="1">
      <c r="B16" s="93" t="s">
        <v>4126</v>
      </c>
      <c r="D16" s="100"/>
    </row>
    <row r="17" ht="33.75" customHeight="1">
      <c r="B17" s="94" t="s">
        <v>4127</v>
      </c>
    </row>
    <row r="18" ht="33.75" customHeight="1">
      <c r="B18" s="94" t="s">
        <v>4128</v>
      </c>
    </row>
    <row r="19" ht="11.25" customHeight="1">
      <c r="B19" s="94" t="s">
        <v>4129</v>
      </c>
    </row>
    <row r="20" ht="33.75" customHeight="1">
      <c r="B20" s="94" t="s">
        <v>4130</v>
      </c>
    </row>
    <row r="21" ht="11.25" customHeight="1">
      <c r="B21" s="93" t="s">
        <v>4131</v>
      </c>
    </row>
    <row r="22" ht="11.25" customHeight="1">
      <c r="B22" s="94" t="s">
        <v>4132</v>
      </c>
    </row>
    <row r="24" ht="22.5" customHeight="1">
      <c r="B24" s="161" t="s">
        <v>4133</v>
      </c>
    </row>
    <row r="26" ht="11.25" customHeight="1">
      <c r="B26" s="93" t="s">
        <v>4134</v>
      </c>
    </row>
    <row r="27" ht="22.5" customHeight="1">
      <c r="B27" s="160" t="s">
        <v>398</v>
      </c>
    </row>
    <row r="28" ht="56.25" customHeight="1">
      <c r="B28" s="160" t="s">
        <v>4135</v>
      </c>
    </row>
    <row r="29" ht="11.25" customHeight="1">
      <c r="B29" s="210" t="s">
        <v>4136</v>
      </c>
    </row>
    <row r="30" ht="22.5" customHeight="1">
      <c r="B30" s="160" t="s">
        <v>4137</v>
      </c>
    </row>
    <row r="32" ht="11.25" customHeight="1">
      <c r="A32" s="188"/>
      <c r="B32" s="189" t="s">
        <v>4138</v>
      </c>
    </row>
    <row r="33" ht="14.25" customHeight="1">
      <c r="A33" s="190">
        <v>1</v>
      </c>
      <c r="B33" s="191" t="s">
        <v>4139</v>
      </c>
    </row>
    <row r="34" ht="14.25" customHeight="1">
      <c r="A34" s="190">
        <v>2</v>
      </c>
      <c r="B34" s="191" t="s">
        <v>4140</v>
      </c>
    </row>
    <row r="35" ht="11.25" customHeight="1">
      <c r="B35" s="189" t="s">
        <v>4141</v>
      </c>
    </row>
    <row r="36" ht="11.25" customHeight="1">
      <c r="B36" s="191" t="s">
        <v>4142</v>
      </c>
    </row>
  </sheetData>
  <sheetProtection autoFilter="0" deleteColumns="0" deleteRows="0" insertColumns="1" insertRows="0" sort="0"/>
  <pageMargins left="0.75" right="0.75" top="1" bottom="1" header="0.5" footer="0.5"/>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Р7-Офис/2026.1.3.2139</Application>
  <Company>ФАС России</Company>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prusov.oleg@ogk2.energy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