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Т-гор.вода'!$88:$90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Т-гор.вода'!$91:$93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Предложение!$33:$37</definedName>
    <definedName name="OFFER_TARIFF_D_2">Предложение!$98:$102</definedName>
    <definedName name="OFFER_TARIFF_D_3">Предложение!$161:$165</definedName>
    <definedName name="OFFER_TARIFF_D_4">Предложение!$224:$228</definedName>
    <definedName name="OFFER_TARIFF_D_5">Предложение!$287:$291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ТП'!$E$28</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ТСО'!$T$61</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Т-гор.вода'!$V$87</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Т-гор.вода'!$AY$88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pt_ntar_30">'ТС. Т-гор.вода'!$65:$86</definedName>
    <definedName name="pt_ter_30">'ТС. Т-гор.вода'!$66:$85</definedName>
    <definedName name="pt_cs_30">'ТС. Т-гор.вода'!$67:$84</definedName>
    <definedName name="pt_ist_te_30">'ТС. Т-гор.вода'!$68:$83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<sst xmlns="http://schemas.openxmlformats.org/spreadsheetml/2006/main" count="11865" uniqueCount="3327">
  <si>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</si>
  <si>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</si>
  <si>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</si>
  <si>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</si>
  <si>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</si>
  <si>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</si>
  <si>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</si>
  <si>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</si>
  <si>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</si>
  <si>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</si>
  <si>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</si>
  <si>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</si>
  <si>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</si>
  <si>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</si>
  <si>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</si>
  <si>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</si>
  <si>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</si>
  <si>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</si>
  <si>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</si>
  <si>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</si>
  <si>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</si>
  <si>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</si>
  <si>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</si>
  <si>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</si>
  <si>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</si>
  <si>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</si>
  <si>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</si>
  <si>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</si>
  <si>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</si>
  <si>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</si>
  <si>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</si>
  <si>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</si>
  <si>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</si>
  <si>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</si>
  <si>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</si>
  <si>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</si>
  <si>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</si>
  <si>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</si>
  <si>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</si>
  <si>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</si>
  <si>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</si>
  <si>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</si>
  <si>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</si>
  <si>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</si>
  <si>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</si>
  <si>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Официальный интернет-портал правовой информации Ставропольского края</t>
  </si>
  <si>
    <t>Открывается, если Тип отчёта "изменения в раскрытой ранее информации"</t>
  </si>
  <si>
    <t>71/2</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</si>
  <si>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</si>
  <si>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</si>
  <si>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</si>
  <si>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</si>
  <si>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</si>
  <si>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</si>
  <si>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</si>
  <si>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</si>
  <si>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</si>
  <si>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</si>
  <si>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</si>
  <si>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</si>
  <si>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</si>
  <si>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</si>
  <si>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</si>
  <si>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</si>
  <si>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</si>
  <si>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</si>
  <si>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</si>
  <si>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</si>
  <si>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</si>
  <si>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</si>
  <si>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</si>
  <si>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</si>
  <si>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</si>
  <si>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356126, Ставропольский край, Г.О. Изобильненский, П Солнечнодольск, УЛ Техническая, ЗД. 14</t>
  </si>
  <si>
    <t>Фамилия, имя, отчество руководителя</t>
  </si>
  <si>
    <t>Деркач Вячеслав Николаевич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</si>
  <si>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</si>
  <si>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</si>
  <si>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</si>
  <si>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</si>
  <si>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</si>
  <si>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</si>
  <si>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(86545)35801</t>
  </si>
  <si>
    <t>E-mail</t>
  </si>
  <si>
    <t>KaurovaEV@sta.ogk2.ru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</si>
  <si>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</si>
  <si>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</si>
  <si>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</si>
  <si>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</si>
  <si>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</si>
  <si>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</si>
  <si>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</si>
  <si>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</si>
  <si>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</si>
  <si>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</si>
  <si>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</si>
  <si>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</si>
  <si>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</si>
  <si>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</si>
  <si>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</si>
  <si>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</si>
  <si>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</si>
  <si>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</si>
  <si>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Изобильненский муниципальный округ</t>
  </si>
  <si>
    <t>07520000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</si>
  <si>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</si>
  <si>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</si>
  <si>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</si>
  <si>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</si>
  <si>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</si>
  <si>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</si>
  <si>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</si>
  <si>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</si>
  <si>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</si>
  <si>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</si>
  <si>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</si>
  <si>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</si>
  <si>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</si>
  <si>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</si>
  <si>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</si>
  <si>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</si>
  <si>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</si>
  <si>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</si>
  <si>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</si>
  <si>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</si>
  <si>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</si>
  <si>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</si>
  <si>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</si>
  <si>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</si>
  <si>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</si>
  <si>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</si>
  <si>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</si>
  <si>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</si>
  <si>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</si>
  <si>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</si>
  <si>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</si>
  <si>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</si>
  <si>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</si>
  <si>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</si>
  <si>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</si>
  <si>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</si>
  <si>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</si>
  <si>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</si>
  <si>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</si>
  <si>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</si>
  <si>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</si>
  <si>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</si>
  <si>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</si>
  <si>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</si>
  <si>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</si>
  <si>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</si>
  <si>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</si>
  <si>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</si>
  <si>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</si>
  <si>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</si>
  <si>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</si>
  <si>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</si>
  <si>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</si>
  <si>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</si>
  <si>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</si>
  <si>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</si>
  <si>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</si>
  <si>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</si>
  <si>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</si>
  <si>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</si>
  <si>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</si>
  <si>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</si>
  <si>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</si>
  <si>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</si>
  <si>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</si>
  <si>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для потребителей, подключенных к тепловым сетям
</t>
  </si>
  <si>
    <t>"4190066"; "4190068"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</si>
  <si>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</si>
  <si>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</si>
  <si>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</si>
  <si>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</si>
  <si>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</si>
  <si>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</si>
  <si>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</si>
  <si>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</si>
  <si>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</si>
  <si>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</si>
  <si>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</si>
  <si>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</si>
  <si>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</si>
  <si>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</si>
  <si>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поставляемую потребителям с коллекторов</t>
  </si>
  <si>
    <t>"4190066"; "4190067"; "4190068"</t>
  </si>
  <si>
    <t>pIns_PT_VTAR_D</t>
  </si>
  <si>
    <t>pt_ntar_4</t>
  </si>
  <si>
    <t>pt_ter_4</t>
  </si>
  <si>
    <t>pt_cs_4</t>
  </si>
  <si>
    <t>pt_ist_te_4</t>
  </si>
  <si>
    <t>×</t>
  </si>
  <si>
    <t>Тариф на горячую воду, поставляемую потребителям из тепловых сетей​</t>
  </si>
  <si>
    <t>pt_ntar_30</t>
  </si>
  <si>
    <t>pt_ter_30</t>
  </si>
  <si>
    <t>pt_cs_30</t>
  </si>
  <si>
    <t>pt_ist_te_30</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</si>
  <si>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</si>
  <si>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</si>
  <si>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</si>
  <si>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</si>
  <si>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</si>
  <si>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</si>
  <si>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</si>
  <si>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</si>
  <si>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</si>
  <si>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</si>
  <si>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</si>
  <si>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</si>
  <si>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</si>
  <si>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</si>
  <si>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</si>
  <si>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</si>
  <si>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</si>
  <si>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</si>
  <si>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</si>
  <si>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</si>
  <si>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</si>
  <si>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</si>
  <si>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</si>
  <si>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</si>
  <si>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</si>
  <si>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</si>
  <si>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</si>
  <si>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</si>
  <si>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</si>
  <si>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</si>
  <si>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</si>
  <si>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</si>
  <si>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</si>
  <si>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</si>
  <si>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</si>
  <si>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</si>
  <si>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</si>
  <si>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</si>
  <si>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</si>
  <si>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</si>
  <si>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</si>
  <si>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</si>
  <si>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</si>
  <si>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</si>
  <si>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</si>
  <si>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</si>
  <si>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</si>
  <si>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</si>
  <si>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</si>
  <si>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</si>
  <si>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</si>
  <si>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</si>
  <si>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</si>
  <si>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</si>
  <si>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</si>
  <si>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</si>
  <si>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</si>
  <si>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</si>
  <si>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</si>
  <si>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</si>
  <si>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</si>
  <si>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</si>
  <si>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</si>
  <si>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</si>
  <si>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</si>
  <si>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</si>
  <si>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</si>
  <si>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</si>
  <si>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</si>
  <si>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</si>
  <si>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</si>
  <si>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</si>
  <si>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</si>
  <si>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</si>
  <si>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</si>
  <si>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</si>
  <si>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</si>
  <si>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</si>
  <si>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</si>
  <si>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</si>
  <si>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</si>
  <si>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</si>
  <si>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</si>
  <si>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</si>
  <si>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</si>
  <si>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</si>
  <si>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</si>
  <si>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</si>
  <si>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</si>
  <si>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</si>
  <si>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</si>
  <si>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</si>
  <si>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</si>
  <si>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</si>
  <si>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</si>
  <si>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</si>
  <si>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</si>
  <si>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</si>
  <si>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</si>
  <si>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</si>
  <si>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</si>
  <si>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</si>
  <si>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</si>
  <si>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</si>
  <si>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</si>
  <si>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</si>
  <si>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</si>
  <si>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</si>
  <si>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</si>
  <si>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</si>
  <si>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</si>
  <si>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</si>
  <si>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</si>
  <si>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</si>
  <si>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</si>
  <si>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</si>
  <si>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</si>
  <si>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</si>
  <si>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</si>
  <si>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</si>
  <si>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</si>
  <si>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</si>
  <si>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</si>
  <si>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</si>
  <si>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</si>
  <si>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</si>
  <si>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</si>
  <si>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</si>
  <si>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</si>
  <si>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</si>
  <si>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</si>
  <si>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</si>
  <si>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</si>
  <si>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</si>
  <si>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</si>
  <si>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</si>
  <si>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</si>
  <si>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</si>
  <si>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</si>
  <si>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</si>
  <si>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</si>
  <si>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</si>
  <si>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</si>
  <si>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</si>
  <si>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</si>
  <si>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</si>
  <si>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</si>
  <si>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</si>
  <si>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</si>
  <si>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</si>
  <si>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</si>
  <si>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</si>
  <si>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</si>
  <si>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</si>
  <si>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</si>
  <si>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</si>
  <si>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</si>
  <si>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</si>
  <si>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</si>
  <si>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</si>
  <si>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</si>
  <si>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</si>
  <si>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</si>
  <si>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</si>
  <si>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</si>
  <si>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</si>
  <si>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</si>
  <si>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</si>
  <si>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</si>
  <si>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</si>
  <si>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</si>
  <si>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</si>
  <si>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</si>
  <si>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</si>
  <si>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</si>
  <si>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</si>
  <si>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</si>
  <si>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</si>
  <si>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</si>
  <si>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</si>
  <si>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</si>
  <si>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</si>
  <si>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</si>
  <si>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</si>
  <si>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</si>
  <si>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</si>
  <si>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</si>
  <si>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</si>
  <si>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</si>
  <si>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</si>
  <si>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</si>
  <si>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</si>
  <si>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</si>
  <si>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</si>
  <si>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</si>
  <si>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</si>
  <si>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</si>
  <si>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</si>
  <si>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</si>
  <si>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</si>
  <si>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</si>
  <si>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</si>
  <si>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</si>
  <si>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</si>
  <si>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</si>
  <si>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</si>
  <si>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</si>
  <si>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</si>
  <si>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</si>
  <si>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</si>
  <si>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</si>
  <si>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</si>
  <si>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</si>
  <si>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</si>
  <si>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</si>
  <si>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</si>
  <si>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</si>
  <si>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</si>
  <si>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</si>
  <si>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</si>
  <si>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</si>
  <si>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</si>
  <si>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</si>
  <si>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</si>
  <si>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</si>
  <si>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</si>
  <si>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</si>
  <si>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</si>
  <si>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</si>
  <si>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</si>
  <si>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</si>
  <si>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</si>
  <si>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</si>
  <si>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</si>
  <si>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</si>
  <si>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</si>
  <si>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</si>
  <si>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</si>
  <si>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</si>
  <si>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</si>
  <si>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</si>
  <si>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</si>
  <si>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</si>
  <si>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</si>
  <si>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</si>
  <si>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</si>
  <si>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</si>
  <si>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</si>
  <si>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</si>
  <si>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</si>
  <si>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</si>
  <si>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</si>
  <si>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</si>
  <si>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</si>
  <si>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</si>
  <si>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</si>
  <si>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</si>
  <si>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</si>
  <si>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</si>
  <si>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</si>
  <si>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</si>
  <si>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</si>
  <si>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</si>
  <si>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</si>
  <si>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</si>
  <si>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</si>
  <si>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прочие</t>
  </si>
  <si>
    <t>вода</t>
  </si>
  <si>
    <t>Период действия</t>
  </si>
  <si>
    <t>к тепловой сети после тепловых пунктов (на тепловых пунктах), эксплуатируемых теплоснабжающей организацией</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</si>
  <si>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</si>
  <si>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</si>
  <si>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</si>
  <si>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</si>
  <si>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</si>
  <si>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</si>
  <si>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</si>
  <si>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</si>
  <si>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</si>
  <si>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</si>
  <si>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</si>
  <si>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</si>
  <si>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</si>
  <si>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</si>
  <si>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</si>
  <si>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</si>
  <si>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</si>
  <si>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</si>
  <si>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</si>
  <si>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</si>
  <si>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</si>
  <si>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</si>
  <si>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</si>
  <si>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</si>
  <si>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</si>
  <si>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</si>
  <si>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</si>
  <si>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</si>
  <si>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</si>
  <si>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</si>
  <si>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</si>
  <si>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</si>
  <si>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</si>
  <si>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</si>
  <si>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</si>
  <si>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</si>
  <si>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</si>
  <si>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</si>
  <si>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</si>
  <si>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</si>
  <si>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</si>
  <si>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</si>
  <si>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</si>
  <si>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</si>
  <si>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</si>
  <si>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</si>
  <si>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</si>
  <si>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</si>
  <si>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</si>
  <si>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</si>
  <si>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</si>
  <si>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</si>
  <si>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</si>
  <si>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</si>
  <si>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</si>
  <si>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</si>
  <si>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</si>
  <si>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</si>
  <si>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</si>
  <si>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</si>
  <si>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</si>
  <si>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</si>
  <si>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</si>
  <si>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</si>
  <si>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</si>
  <si>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</si>
  <si>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</si>
  <si>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</si>
  <si>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</si>
  <si>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</si>
  <si>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</si>
  <si>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</si>
  <si>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</si>
  <si>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</si>
  <si>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</si>
  <si>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</si>
  <si>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</si>
  <si>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</si>
  <si>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</si>
  <si>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</si>
  <si>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</si>
  <si>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</si>
  <si>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</si>
  <si>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</si>
  <si>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</si>
  <si>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</si>
  <si>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</si>
  <si>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</si>
  <si>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</si>
  <si>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</si>
  <si>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</si>
  <si>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</si>
  <si>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</si>
  <si>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</si>
  <si>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</si>
  <si>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</si>
  <si>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</si>
  <si>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</si>
  <si>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</si>
  <si>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</si>
  <si>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</si>
  <si>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</si>
  <si>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</si>
  <si>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</si>
  <si>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</si>
  <si>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</si>
  <si>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</si>
  <si>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</si>
  <si>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</si>
  <si>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</si>
  <si>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</si>
  <si>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</si>
  <si>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</si>
  <si>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</si>
  <si>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</si>
  <si>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</si>
  <si>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</si>
  <si>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</si>
  <si>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</si>
  <si>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</si>
  <si>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</si>
  <si>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</si>
  <si>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</si>
  <si>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</si>
  <si>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</si>
  <si>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</si>
  <si>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</si>
  <si>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</si>
  <si>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</si>
  <si>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</si>
  <si>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</si>
  <si>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</si>
  <si>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</si>
  <si>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</si>
  <si>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</si>
  <si>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</si>
  <si>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</si>
  <si>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</si>
  <si>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</si>
  <si>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</si>
  <si>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</si>
  <si>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</si>
  <si>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</si>
  <si>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</si>
  <si>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</si>
  <si>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</si>
  <si>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</si>
  <si>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</si>
  <si>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</si>
  <si>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</si>
  <si>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</si>
  <si>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</si>
  <si>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</si>
  <si>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</si>
  <si>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</si>
  <si>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</si>
  <si>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</si>
  <si>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</si>
  <si>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</si>
  <si>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</si>
  <si>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</si>
  <si>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</si>
  <si>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</si>
  <si>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</si>
  <si>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</si>
  <si>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</si>
  <si>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</si>
  <si>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</si>
  <si>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</si>
  <si>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</si>
  <si>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</si>
  <si>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</si>
  <si>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</si>
  <si>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</si>
  <si>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</si>
  <si>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</si>
  <si>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</si>
  <si>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</si>
  <si>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</si>
  <si>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</si>
  <si>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</si>
  <si>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</si>
  <si>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</si>
  <si>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</si>
  <si>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</si>
  <si>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</si>
  <si>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</si>
  <si>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</si>
  <si>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</si>
  <si>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</si>
  <si>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</si>
  <si>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</si>
  <si>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</si>
  <si>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</si>
  <si>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</si>
  <si>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</si>
  <si>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</si>
  <si>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</si>
  <si>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</si>
  <si>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</si>
  <si>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</si>
  <si>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</si>
  <si>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</si>
  <si>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</si>
  <si>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</si>
  <si>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</si>
  <si>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</si>
  <si>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</si>
  <si>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</si>
  <si>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</si>
  <si>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</si>
  <si>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</si>
  <si>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</si>
  <si>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</si>
  <si>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</si>
  <si>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</si>
  <si>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</si>
  <si>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</si>
  <si>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</si>
  <si>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</si>
  <si>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</si>
  <si>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</si>
  <si>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</si>
  <si>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</si>
  <si>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</si>
  <si>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</si>
  <si>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</si>
  <si>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</si>
  <si>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</si>
  <si>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</si>
  <si>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</si>
  <si>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</si>
  <si>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</si>
  <si>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</si>
  <si>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</si>
  <si>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</si>
  <si>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</si>
  <si>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</si>
  <si>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</si>
  <si>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</si>
  <si>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</si>
  <si>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</si>
  <si>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</si>
  <si>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</si>
  <si>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</si>
  <si>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</si>
  <si>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</si>
  <si>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</si>
  <si>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</si>
  <si>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</si>
  <si>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</si>
  <si>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</si>
  <si>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</si>
  <si>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</si>
  <si>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</si>
  <si>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</si>
  <si>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</si>
  <si>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</si>
  <si>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</si>
  <si>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</si>
  <si>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</si>
  <si>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</si>
  <si>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</si>
  <si>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</si>
  <si>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</si>
  <si>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</si>
  <si>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</si>
  <si>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</si>
  <si>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</si>
  <si>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</si>
  <si>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</si>
  <si>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</si>
  <si>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</si>
  <si>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</si>
  <si>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</si>
  <si>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</si>
  <si>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</si>
  <si>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</si>
  <si>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</si>
  <si>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</si>
  <si>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</si>
  <si>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</si>
  <si>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</si>
  <si>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</si>
  <si>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</si>
  <si>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</si>
  <si>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</si>
  <si>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</si>
  <si>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</si>
  <si>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</si>
  <si>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</si>
  <si>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</si>
  <si>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</si>
  <si>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</si>
  <si>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</si>
  <si>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</si>
  <si>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</si>
  <si>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</si>
  <si>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</si>
  <si>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</si>
  <si>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</si>
  <si>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</si>
  <si>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</si>
  <si>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</si>
  <si>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</si>
  <si>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</si>
  <si>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</si>
  <si>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</si>
  <si>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</si>
  <si>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</si>
  <si>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</si>
  <si>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</si>
  <si>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</si>
  <si>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</si>
  <si>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</si>
  <si>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</si>
  <si>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</si>
  <si>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</si>
  <si>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</si>
  <si>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</si>
  <si>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</si>
  <si>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</si>
  <si>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</si>
  <si>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</si>
  <si>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</si>
  <si>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</si>
  <si>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</si>
  <si>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</si>
  <si>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</si>
  <si>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</si>
  <si>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</si>
  <si>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</si>
  <si>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</si>
  <si>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</si>
  <si>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</si>
  <si>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</si>
  <si>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</si>
  <si>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</si>
  <si>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</si>
  <si>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</si>
  <si>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</si>
  <si>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</si>
  <si>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</si>
  <si>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</si>
  <si>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</si>
  <si>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</si>
  <si>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</si>
  <si>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</si>
  <si>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</si>
  <si>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</si>
  <si>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</si>
  <si>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</si>
  <si>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</si>
  <si>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</si>
  <si>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</si>
  <si>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</si>
  <si>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</si>
  <si>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</si>
  <si>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</si>
  <si>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</si>
  <si>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</si>
  <si>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</si>
  <si>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</si>
  <si>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</si>
  <si>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</si>
  <si>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</si>
  <si>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</si>
  <si>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</si>
  <si>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</si>
  <si>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</si>
  <si>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</si>
  <si>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</si>
  <si>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</si>
  <si>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</si>
  <si>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</si>
  <si>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</si>
  <si>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</si>
  <si>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</si>
  <si>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</si>
  <si>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</si>
  <si>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</si>
  <si>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</si>
  <si>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</si>
  <si>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</si>
  <si>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</si>
  <si>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</si>
  <si>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</si>
  <si>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</si>
  <si>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</si>
  <si>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</si>
  <si>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</si>
  <si>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</si>
  <si>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</si>
  <si>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</si>
  <si>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</si>
  <si>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</si>
  <si>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</si>
  <si>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</si>
  <si>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</si>
  <si>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</si>
  <si>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</si>
  <si>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</si>
  <si>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</si>
  <si>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</si>
  <si>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</si>
  <si>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</si>
  <si>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</si>
  <si>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</si>
  <si>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</si>
  <si>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</si>
  <si>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</si>
  <si>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</si>
  <si>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</si>
  <si>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</si>
  <si>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</si>
  <si>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</si>
  <si>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</si>
  <si>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</si>
  <si>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</si>
  <si>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</si>
  <si>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</si>
  <si>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</si>
  <si>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</si>
  <si>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</si>
  <si>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</si>
  <si>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</si>
  <si>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</si>
  <si>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</si>
  <si>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</si>
  <si>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</si>
  <si>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</si>
  <si>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</si>
  <si>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</si>
  <si>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</si>
  <si>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</si>
  <si>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</si>
  <si>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</si>
  <si>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</si>
  <si>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</si>
  <si>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</si>
  <si>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</si>
  <si>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</si>
  <si>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</si>
  <si>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</si>
  <si>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</si>
  <si>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</si>
  <si>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</si>
  <si>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</si>
  <si>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</si>
  <si>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</si>
  <si>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</si>
  <si>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</si>
  <si>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</si>
  <si>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</si>
  <si>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</si>
  <si>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</si>
  <si>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</si>
  <si>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</si>
  <si>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</si>
  <si>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</si>
  <si>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</si>
  <si>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</si>
  <si>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</si>
  <si>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</si>
  <si>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</si>
  <si>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</si>
  <si>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</si>
  <si>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</si>
  <si>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</si>
  <si>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</si>
  <si>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</si>
  <si>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</si>
  <si>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</si>
  <si>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</si>
  <si>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</si>
  <si>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</si>
  <si>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</si>
  <si>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</si>
  <si>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</si>
  <si>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</si>
  <si>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</si>
  <si>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</si>
  <si>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</si>
  <si>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</si>
  <si>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</si>
  <si>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</si>
  <si>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</si>
  <si>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</si>
  <si>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</si>
  <si>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</si>
  <si>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</si>
  <si>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</si>
  <si>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</si>
  <si>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</si>
  <si>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</si>
  <si>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</si>
  <si>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</si>
  <si>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</si>
  <si>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</si>
  <si>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</si>
  <si>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</si>
  <si>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</si>
  <si>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</si>
  <si>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</si>
  <si>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</si>
  <si>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</si>
  <si>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</si>
  <si>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</si>
  <si>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</si>
  <si>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</si>
  <si>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</si>
  <si>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</si>
  <si>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</si>
  <si>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</si>
  <si>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</si>
  <si>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</si>
  <si>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</si>
  <si>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</si>
  <si>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</si>
  <si>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</si>
  <si>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</si>
  <si>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</si>
  <si>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</si>
  <si>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</si>
  <si>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</si>
  <si>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</si>
  <si>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</si>
  <si>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</si>
  <si>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</si>
  <si>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</si>
  <si>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</si>
  <si>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</si>
  <si>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</si>
  <si>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</si>
  <si>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</si>
  <si>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</si>
  <si>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</si>
  <si>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</si>
  <si>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</si>
  <si>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</si>
  <si>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</si>
  <si>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</si>
  <si>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</si>
  <si>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</si>
  <si>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</si>
  <si>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</si>
  <si>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</si>
  <si>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</si>
  <si>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</si>
  <si>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</si>
  <si>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</si>
  <si>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</si>
  <si>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</si>
  <si>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</si>
  <si>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</si>
  <si>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</si>
  <si>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</si>
  <si>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</si>
  <si>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</si>
  <si>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</si>
  <si>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</si>
  <si>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</si>
  <si>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</si>
  <si>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</si>
  <si>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</si>
  <si>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</si>
  <si>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</si>
  <si>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</si>
  <si>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</si>
  <si>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</si>
  <si>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</si>
  <si>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</si>
  <si>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</si>
  <si>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</si>
  <si>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</si>
  <si>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</si>
  <si>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</si>
  <si>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</si>
  <si>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</si>
  <si>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</si>
  <si>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</si>
  <si>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</si>
  <si>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</si>
  <si>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</si>
  <si>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</si>
  <si>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</si>
  <si>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</si>
  <si>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</si>
  <si>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</si>
  <si>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</si>
  <si>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</si>
  <si>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</si>
  <si>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</si>
  <si>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</si>
  <si>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</si>
  <si>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</si>
  <si>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</si>
  <si>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</si>
  <si>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</si>
  <si>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</si>
  <si>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</si>
  <si>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</si>
  <si>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</si>
  <si>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</si>
  <si>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</si>
  <si>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</si>
  <si>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</si>
  <si>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</si>
  <si>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</si>
  <si>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</si>
  <si>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</si>
  <si>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</si>
  <si>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</si>
  <si>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</si>
  <si>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</si>
  <si>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</si>
  <si>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</si>
  <si>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</si>
  <si>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</si>
  <si>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</si>
  <si>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</si>
  <si>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</si>
  <si>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</si>
  <si>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</si>
  <si>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</si>
  <si>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</si>
  <si>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</si>
  <si>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</si>
  <si>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</si>
  <si>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</si>
  <si>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</si>
  <si>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</si>
  <si>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</si>
  <si>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</si>
  <si>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</si>
  <si>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</si>
  <si>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</si>
  <si>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</si>
  <si>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</si>
  <si>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</si>
  <si>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</si>
  <si>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</si>
  <si>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</si>
  <si>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</si>
  <si>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</si>
  <si>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</si>
  <si>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</si>
  <si>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</si>
  <si>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</si>
  <si>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</si>
  <si>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</si>
  <si>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</si>
  <si>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</si>
  <si>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</si>
  <si>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</si>
  <si>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</si>
  <si>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</si>
  <si>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</si>
  <si>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</si>
  <si>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</si>
  <si>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</si>
  <si>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</si>
  <si>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</si>
  <si>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</si>
  <si>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</si>
  <si>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</si>
  <si>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</si>
  <si>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</si>
  <si>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</si>
  <si>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</si>
  <si>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</si>
  <si>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</si>
  <si>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</si>
  <si>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</si>
  <si>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</si>
  <si>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</si>
  <si>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</si>
  <si>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</si>
  <si>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</si>
  <si>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</si>
  <si>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</si>
  <si>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</si>
  <si>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</si>
  <si>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</si>
  <si>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</si>
  <si>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</si>
  <si>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https://ogk2.ru/aktsioneram-i-investoram/raskrytie-informatsii/disclosureinstand/informatsiya-raskryvaemaya-v-sootvetstvii-s-postanovleniyami-pravitelstva-rf-108-110/filial-pao-ogk-2-stavropolskaya-gres/</t>
  </si>
  <si>
    <t>https://portal.eias.ru/Portal/DownloadPage.aspx?type=12&amp;guid=a011ae8f-fd05-44ef-9157-10e5ed61592b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</si>
  <si>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</si>
  <si>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https://portal.eias.ru/Portal/DownloadPage.aspx?type=12&amp;guid=3e2a3b03-8227-4f17-b20b-95534feb6b6a</t>
  </si>
  <si>
    <t>Форма типовых условий подключения</t>
  </si>
  <si>
    <t>https://portal.eias.ru/Portal/DownloadPage.aspx?type=12&amp;guid=7c68dc24-c565-4a0f-a2b3-52d7895f02ab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</si>
  <si>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</si>
  <si>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Форма типового договора на подключение</t>
  </si>
  <si>
    <t>https://portal.eias.ru/Portal/DownloadPage.aspx?type=12&amp;guid=5bb531b9-031c-4cc3-9239-740cf6fe22bb</t>
  </si>
  <si>
    <t xml:space="preserve">Постановление Правительства РФ от 30 ноября 2021 г.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РФ и отдельных положений некоторых актов Правительства РФ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</si>
  <si>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</si>
  <si>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</si>
  <si>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8(86545)3-50-08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</si>
  <si>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</si>
  <si>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</si>
  <si>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356126, Ставропольский край, Г.О. Изобильненский, П Солнечнодольск, УЛ Техническая, ЗД. 14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</si>
  <si>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</si>
  <si>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</si>
  <si>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</si>
  <si>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15:45</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</si>
  <si>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</si>
  <si>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</si>
  <si>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</si>
  <si>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</si>
  <si>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</si>
  <si>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</si>
  <si>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</si>
  <si>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</si>
  <si>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</si>
  <si>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</si>
  <si>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</si>
  <si>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</si>
  <si>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</si>
  <si>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</si>
  <si>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</si>
  <si>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</si>
  <si>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</si>
  <si>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</si>
  <si>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</si>
  <si>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</si>
  <si>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</si>
  <si>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</si>
  <si>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</si>
  <si>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</si>
  <si>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</si>
  <si>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</si>
  <si>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</si>
  <si>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</si>
  <si>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</si>
  <si>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</si>
  <si>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</si>
  <si>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</si>
  <si>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</si>
  <si>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</si>
  <si>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</si>
  <si>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</si>
  <si>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</si>
  <si>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</si>
  <si>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</si>
  <si>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</si>
  <si>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</si>
  <si>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</si>
  <si>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</si>
  <si>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</si>
  <si>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</si>
  <si>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</si>
  <si>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</si>
  <si>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</si>
  <si>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</si>
  <si>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</si>
  <si>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</si>
  <si>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</si>
  <si>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</si>
  <si>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</si>
  <si>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</si>
  <si>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</si>
  <si>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</si>
  <si>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</si>
  <si>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</si>
  <si>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</si>
  <si>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</si>
  <si>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</si>
  <si>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</si>
  <si>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</si>
  <si>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</si>
  <si>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</si>
  <si>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</si>
  <si>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</si>
  <si>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</si>
  <si>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</si>
  <si>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</si>
  <si>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</si>
  <si>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</si>
  <si>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</si>
  <si>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</si>
  <si>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</si>
  <si>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</si>
  <si>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</si>
  <si>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</si>
  <si>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</si>
  <si>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</si>
  <si>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</si>
  <si>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</si>
  <si>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</si>
  <si>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</si>
  <si>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</si>
  <si>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</si>
  <si>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</si>
  <si>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</si>
  <si>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</si>
  <si>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</si>
  <si>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</si>
  <si>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</si>
  <si>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</si>
  <si>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</si>
  <si>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</si>
  <si>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</si>
  <si>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</si>
  <si>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</si>
  <si>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</si>
  <si>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</si>
  <si>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</si>
  <si>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</si>
  <si>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</si>
  <si>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</si>
  <si>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</si>
  <si>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</si>
  <si>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</si>
  <si>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</si>
  <si>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</si>
  <si>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</si>
  <si>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</si>
  <si>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</si>
  <si>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</si>
  <si>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</si>
  <si>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</si>
  <si>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</si>
  <si>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</si>
  <si>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</si>
  <si>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</si>
  <si>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</si>
  <si>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</si>
  <si>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</si>
  <si>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</si>
  <si>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</si>
  <si>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</si>
  <si>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</si>
  <si>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</si>
  <si>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</si>
  <si>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</si>
  <si>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</si>
  <si>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</si>
  <si>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</si>
  <si>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</si>
  <si>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</si>
  <si>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</si>
  <si>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</si>
  <si>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</si>
  <si>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</si>
  <si>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</si>
  <si>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</si>
  <si>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</si>
  <si>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</si>
  <si>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</si>
  <si>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</si>
  <si>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</si>
  <si>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</si>
  <si>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</si>
  <si>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</si>
  <si>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</si>
  <si>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</si>
  <si>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</si>
  <si>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</si>
  <si>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</si>
  <si>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</si>
  <si>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</si>
  <si>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</si>
  <si>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</si>
  <si>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</si>
  <si>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</si>
  <si>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</si>
  <si>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</si>
  <si>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</si>
  <si>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</si>
  <si>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</si>
  <si>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</si>
  <si>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</si>
  <si>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</si>
  <si>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</si>
  <si>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</si>
  <si>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</si>
  <si>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</si>
  <si>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</si>
  <si>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</si>
  <si>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</si>
  <si>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</si>
  <si>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</si>
  <si>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</si>
  <si>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</si>
  <si>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</si>
  <si>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</si>
  <si>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</si>
  <si>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</si>
  <si>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</si>
  <si>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</si>
  <si>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</si>
  <si>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</si>
  <si>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</si>
  <si>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</si>
  <si>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</si>
  <si>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</si>
  <si>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</si>
  <si>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</si>
  <si>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</si>
  <si>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</si>
  <si>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</si>
  <si>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</si>
  <si>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</si>
  <si>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</si>
  <si>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</si>
  <si>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</si>
  <si>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</si>
  <si>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</si>
  <si>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</si>
  <si>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</si>
  <si>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</si>
  <si>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</si>
  <si>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</si>
  <si>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</si>
  <si>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</si>
  <si>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</si>
  <si>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</si>
  <si>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</si>
  <si>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</si>
  <si>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</si>
  <si>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</si>
  <si>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</si>
  <si>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</si>
  <si>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</si>
  <si>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</si>
  <si>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</si>
  <si>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</si>
  <si>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</si>
  <si>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</si>
  <si>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</si>
  <si>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</si>
  <si>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</si>
  <si>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</si>
  <si>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</si>
  <si>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</si>
  <si>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</si>
  <si>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</si>
  <si>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</si>
  <si>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</si>
  <si>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</si>
  <si>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</si>
  <si>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</si>
  <si>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</si>
  <si>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</si>
  <si>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</si>
  <si>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</si>
  <si>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</si>
  <si>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</si>
  <si>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</si>
  <si>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</si>
  <si>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</si>
  <si>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</si>
  <si>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</si>
  <si>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</si>
  <si>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</si>
  <si>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</si>
  <si>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</si>
  <si>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</si>
  <si>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</si>
  <si>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</si>
  <si>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</si>
  <si>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</si>
  <si>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</si>
  <si>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</si>
  <si>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</si>
  <si>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</si>
  <si>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</si>
  <si>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</si>
  <si>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</si>
  <si>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</si>
  <si>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</si>
  <si>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</si>
  <si>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</si>
  <si>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</si>
  <si>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</si>
  <si>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</si>
  <si>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</si>
  <si>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</si>
  <si>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</si>
  <si>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</si>
  <si>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</si>
  <si>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</si>
  <si>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</si>
  <si>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</si>
  <si>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</si>
  <si>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</si>
  <si>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</si>
  <si>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</si>
  <si>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</si>
  <si>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</si>
  <si>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</si>
  <si>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</si>
  <si>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</si>
  <si>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</si>
  <si>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</si>
  <si>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</si>
  <si>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</si>
  <si>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</si>
  <si>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</si>
  <si>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</si>
  <si>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</si>
  <si>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</si>
  <si>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</si>
  <si>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</si>
  <si>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</si>
  <si>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</si>
  <si>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</si>
  <si>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</si>
  <si>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</si>
  <si>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</si>
  <si>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</si>
  <si>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</si>
  <si>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</si>
  <si>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</si>
  <si>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</si>
  <si>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</si>
  <si>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</si>
  <si>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</si>
  <si>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</si>
  <si>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</si>
  <si>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</si>
  <si>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</si>
  <si>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</si>
  <si>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</si>
  <si>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</si>
  <si>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</si>
  <si>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</si>
  <si>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</si>
  <si>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</si>
  <si>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</si>
  <si>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</si>
  <si>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</si>
  <si>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</si>
  <si>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</si>
  <si>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</si>
  <si>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</si>
  <si>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</si>
  <si>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</si>
  <si>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</si>
  <si>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</si>
  <si>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</si>
  <si>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</si>
  <si>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</si>
  <si>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</si>
  <si>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</si>
  <si>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</si>
  <si>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</si>
  <si>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</si>
  <si>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</si>
  <si>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</si>
  <si>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</si>
  <si>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</si>
  <si>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</si>
  <si>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</si>
  <si>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</si>
  <si>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</si>
  <si>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</si>
  <si>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</si>
  <si>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</si>
  <si>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</si>
  <si>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</si>
  <si>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</si>
  <si>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</si>
  <si>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</si>
  <si>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</si>
  <si>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</si>
  <si>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</si>
  <si>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</si>
  <si>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</si>
  <si>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</si>
  <si>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</si>
  <si>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</si>
  <si>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</si>
  <si>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</si>
  <si>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</si>
  <si>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</si>
  <si>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</si>
  <si>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</si>
  <si>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</si>
  <si>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</si>
  <si>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</si>
  <si>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</si>
  <si>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</si>
  <si>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</si>
  <si>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</si>
  <si>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</si>
  <si>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</si>
  <si>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</si>
  <si>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</si>
  <si>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</si>
  <si>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</si>
  <si>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</si>
  <si>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</si>
  <si>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</si>
  <si>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</si>
  <si>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</si>
  <si>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</si>
  <si>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</si>
  <si>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</si>
  <si>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</si>
  <si>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</si>
  <si>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</si>
  <si>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</si>
  <si>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</si>
  <si>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</si>
  <si>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</si>
  <si>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</si>
  <si>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</si>
  <si>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</si>
  <si>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</si>
  <si>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</si>
  <si>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</si>
  <si>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</si>
  <si>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</si>
  <si>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</si>
  <si>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</si>
  <si>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</si>
  <si>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</si>
  <si>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</si>
  <si>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</si>
  <si>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</si>
  <si>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</si>
  <si>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</si>
  <si>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</si>
  <si>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</si>
  <si>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</si>
  <si>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</si>
  <si>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</si>
  <si>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</si>
  <si>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</si>
  <si>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</si>
  <si>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</si>
  <si>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</si>
  <si>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</si>
  <si>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</si>
  <si>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</si>
  <si>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</si>
  <si>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</si>
  <si>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</si>
  <si>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</si>
  <si>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</si>
  <si>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</si>
  <si>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</si>
  <si>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</si>
  <si>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</si>
  <si>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</si>
  <si>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</si>
  <si>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</si>
  <si>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</si>
  <si>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</si>
  <si>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</si>
  <si>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</si>
  <si>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</si>
  <si>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</si>
  <si>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</si>
  <si>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</si>
  <si>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</si>
  <si>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</si>
  <si>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</si>
  <si>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</si>
  <si>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</si>
  <si>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</si>
  <si>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</si>
  <si>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</si>
  <si>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</si>
  <si>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</si>
  <si>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</si>
  <si>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</si>
  <si>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</si>
  <si>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</si>
  <si>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</si>
  <si>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</si>
  <si>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</si>
  <si>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</si>
  <si>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</si>
  <si>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</si>
  <si>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</si>
  <si>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</si>
  <si>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</si>
  <si>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</si>
  <si>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</si>
  <si>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</si>
  <si>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</si>
  <si>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</si>
  <si>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</si>
  <si>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</si>
  <si>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</si>
  <si>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</si>
  <si>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</si>
  <si>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</si>
  <si>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</si>
  <si>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</si>
  <si>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</si>
  <si>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</si>
  <si>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</si>
  <si>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</si>
  <si>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</si>
  <si>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</si>
  <si>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</si>
  <si>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</si>
  <si>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</si>
  <si>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</si>
  <si>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</si>
  <si>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</si>
  <si>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</si>
  <si>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</si>
  <si>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</si>
  <si>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</si>
  <si>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</si>
  <si>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</si>
  <si>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</si>
  <si>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</si>
  <si>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</si>
  <si>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</si>
  <si>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</si>
  <si>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</si>
  <si>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</si>
  <si>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</si>
  <si>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</si>
  <si>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</si>
  <si>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</si>
  <si>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</si>
  <si>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</si>
  <si>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</si>
  <si>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</si>
  <si>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</si>
  <si>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</si>
  <si>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</si>
  <si>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</si>
  <si>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</si>
  <si>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</si>
  <si>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</si>
  <si>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</si>
  <si>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</si>
  <si>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</si>
  <si>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</si>
  <si>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</si>
  <si>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</si>
  <si>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</si>
  <si>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</si>
  <si>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</si>
  <si>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</si>
  <si>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</si>
  <si>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</si>
  <si>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</si>
  <si>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</si>
  <si>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</si>
  <si>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</si>
  <si>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</si>
  <si>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</si>
  <si>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</si>
  <si>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</si>
  <si>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</si>
  <si>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</si>
  <si>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</si>
  <si>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</si>
  <si>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</si>
  <si>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</si>
  <si>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</si>
  <si>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</si>
  <si>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</si>
  <si>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</si>
  <si>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</si>
  <si>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</si>
  <si>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</si>
  <si>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</si>
  <si>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</si>
  <si>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</si>
  <si>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</si>
  <si>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</si>
  <si>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</si>
  <si>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</si>
  <si>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</si>
  <si>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</si>
  <si>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</si>
  <si>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</si>
  <si>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</si>
  <si>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</si>
  <si>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</si>
  <si>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</si>
  <si>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</si>
  <si>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</si>
  <si>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</si>
  <si>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</si>
  <si>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</si>
  <si>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</si>
  <si>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</si>
  <si>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</si>
  <si>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</si>
  <si>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</si>
  <si>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</si>
  <si>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</si>
  <si>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</si>
  <si>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</si>
  <si>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</si>
  <si>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</si>
  <si>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</si>
  <si>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</si>
  <si>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</si>
  <si>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</si>
  <si>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</si>
  <si>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</si>
  <si>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</si>
  <si>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</si>
  <si>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</si>
  <si>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</si>
  <si>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</si>
  <si>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</si>
  <si>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</si>
  <si>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</si>
  <si>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</si>
  <si>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</si>
  <si>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</si>
  <si>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</si>
  <si>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</si>
  <si>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</si>
  <si>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</si>
  <si>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</si>
  <si>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</si>
  <si>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</si>
  <si>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</si>
  <si>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</si>
  <si>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</si>
  <si>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</si>
  <si>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</si>
  <si>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</si>
  <si>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</si>
  <si>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</si>
  <si>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</si>
  <si>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</si>
  <si>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</si>
  <si>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</si>
  <si>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</si>
  <si>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</si>
  <si>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</si>
  <si>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</si>
  <si>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</si>
  <si>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</si>
  <si>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</si>
  <si>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</si>
  <si>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</si>
  <si>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</si>
  <si>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</si>
  <si>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</si>
  <si>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</si>
  <si>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</si>
  <si>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</si>
  <si>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</si>
  <si>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</si>
  <si>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</si>
  <si>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</si>
  <si>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</si>
  <si>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</si>
  <si>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</si>
  <si>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</si>
  <si>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</si>
  <si>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</si>
  <si>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</si>
  <si>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</si>
  <si>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</si>
  <si>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</si>
  <si>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</si>
  <si>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</si>
  <si>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</si>
  <si>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</si>
  <si>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</si>
  <si>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</si>
  <si>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</si>
  <si>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</si>
  <si>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</si>
  <si>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</si>
  <si>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</si>
  <si>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</si>
  <si>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</si>
  <si>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</si>
  <si>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</si>
  <si>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</si>
  <si>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</si>
  <si>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</si>
  <si>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</si>
  <si>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</si>
  <si>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</si>
  <si>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</si>
  <si>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</si>
  <si>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</si>
  <si>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</si>
  <si>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</si>
  <si>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</si>
  <si>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</si>
  <si>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</si>
  <si>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</si>
  <si>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</si>
  <si>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</si>
  <si>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</si>
  <si>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</si>
  <si>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</si>
  <si>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</si>
  <si>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</si>
  <si>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</si>
  <si>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</si>
  <si>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</si>
  <si>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</si>
  <si>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</si>
  <si>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</si>
  <si>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</si>
  <si>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</si>
  <si>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</si>
  <si>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</si>
  <si>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</si>
  <si>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</si>
  <si>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</si>
  <si>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</si>
  <si>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</si>
  <si>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</si>
  <si>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</si>
  <si>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</si>
  <si>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</si>
  <si>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</si>
  <si>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</si>
  <si>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</si>
  <si>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</si>
  <si>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</si>
  <si>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</si>
  <si>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</si>
  <si>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</si>
  <si>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</si>
  <si>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</si>
  <si>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</si>
  <si>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</si>
  <si>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</si>
  <si>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</si>
  <si>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</si>
  <si>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</si>
  <si>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</si>
  <si>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</si>
  <si>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</si>
  <si>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</si>
  <si>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</si>
  <si>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</si>
  <si>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</si>
  <si>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</si>
  <si>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</si>
  <si>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</si>
  <si>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</si>
  <si>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</si>
  <si>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</si>
  <si>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</si>
  <si>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</si>
  <si>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</si>
  <si>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</si>
  <si>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</si>
  <si>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</si>
  <si>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на очередной период регулирования на 2025 год (ранее учтенный период регулирования 2024-2028 гг. Постановление РТК №80/2 от 18.12.2023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</si>
  <si>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</si>
  <si>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</si>
  <si>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</si>
  <si>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Филиал ПАО "ОГК-2" - Ставропольская ГРЭС имеет статус ЕТО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</si>
  <si>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</si>
  <si>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</si>
  <si>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</si>
  <si>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</si>
  <si>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</si>
  <si>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</si>
  <si>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</si>
  <si>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</si>
  <si>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</si>
  <si>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</si>
  <si>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</si>
  <si>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</si>
  <si>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</si>
  <si>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</si>
  <si>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</si>
  <si>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</si>
  <si>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</si>
  <si>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</si>
  <si>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</si>
  <si>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</si>
  <si>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</si>
  <si>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</si>
  <si>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</si>
  <si>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</si>
  <si>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</si>
  <si>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</si>
  <si>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</si>
  <si>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</si>
  <si>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</si>
  <si>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</si>
  <si>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</si>
  <si>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</si>
  <si>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</si>
  <si>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</si>
  <si>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</si>
  <si>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</si>
  <si>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</si>
  <si>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</si>
  <si>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</si>
  <si>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</si>
  <si>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</si>
  <si>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</si>
  <si>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</si>
  <si>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</si>
  <si>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</si>
  <si>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</si>
  <si>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</si>
  <si>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</si>
  <si>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</si>
  <si>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</si>
  <si>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</si>
  <si>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</si>
  <si>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</si>
  <si>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</si>
  <si>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</si>
  <si>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</si>
  <si>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</si>
  <si>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</si>
  <si>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</si>
  <si>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</si>
  <si>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</si>
  <si>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</si>
  <si>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</si>
  <si>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</si>
  <si>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</si>
  <si>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</si>
  <si>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</si>
  <si>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</si>
  <si>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</si>
  <si>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</si>
  <si>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</si>
  <si>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</si>
  <si>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</si>
  <si>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</si>
  <si>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</si>
  <si>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</si>
  <si>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</si>
  <si>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</si>
  <si>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</si>
  <si>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</si>
  <si>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</si>
  <si>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</si>
  <si>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</si>
  <si>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</si>
  <si>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</si>
  <si>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</si>
  <si>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</si>
  <si>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</si>
  <si>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</si>
  <si>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</si>
  <si>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</si>
  <si>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</si>
  <si>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</si>
  <si>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</si>
  <si>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</si>
  <si>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</si>
  <si>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</si>
  <si>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</si>
  <si>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</si>
  <si>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</si>
  <si>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</si>
  <si>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</si>
  <si>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</si>
  <si>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</si>
  <si>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</si>
  <si>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</si>
  <si>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</si>
  <si>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</si>
  <si>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</si>
  <si>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</si>
  <si>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</si>
  <si>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</si>
  <si>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</si>
  <si>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</si>
  <si>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</si>
  <si>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</si>
  <si>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</si>
  <si>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</si>
  <si>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</si>
  <si>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</si>
  <si>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</si>
  <si>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</si>
  <si>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</si>
  <si>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</si>
  <si>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</si>
  <si>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</si>
  <si>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</si>
  <si>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</si>
  <si>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</si>
  <si>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</si>
  <si>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</si>
  <si>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</si>
  <si>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</si>
  <si>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</si>
  <si>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</si>
  <si>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</si>
  <si>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</si>
  <si>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</si>
  <si>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</si>
  <si>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</si>
  <si>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</si>
  <si>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</si>
  <si>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</si>
  <si>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</si>
  <si>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</si>
  <si>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</si>
  <si>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</si>
  <si>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</si>
  <si>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</si>
  <si>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</si>
  <si>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</si>
  <si>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</si>
  <si>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</si>
  <si>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</si>
  <si>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</si>
  <si>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</si>
  <si>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</si>
  <si>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</si>
  <si>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</si>
  <si>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</si>
  <si>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</si>
  <si>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</si>
  <si>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</si>
  <si>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</si>
  <si>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</si>
  <si>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</si>
  <si>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</si>
  <si>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</si>
  <si>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</si>
  <si>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</si>
  <si>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</si>
  <si>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</si>
  <si>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</si>
  <si>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</si>
  <si>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</si>
  <si>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</si>
  <si>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</si>
  <si>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</si>
  <si>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</si>
  <si>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</si>
  <si>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</si>
  <si>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</si>
  <si>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</si>
  <si>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</si>
  <si>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</si>
  <si>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</si>
  <si>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</si>
  <si>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</si>
  <si>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</si>
  <si>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</si>
  <si>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</si>
  <si>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</si>
  <si>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</si>
  <si>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</si>
  <si>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</si>
  <si>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</si>
  <si>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</si>
  <si>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</si>
  <si>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</si>
  <si>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</si>
  <si>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</si>
  <si>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</si>
  <si>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</si>
  <si>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</si>
  <si>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</si>
  <si>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</si>
  <si>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</si>
  <si>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</si>
  <si>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</si>
  <si>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</si>
  <si>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</si>
  <si>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</si>
  <si>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</si>
  <si>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</si>
  <si>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</si>
  <si>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</si>
  <si>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</si>
  <si>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</si>
  <si>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</si>
  <si>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</si>
  <si>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</si>
  <si>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</si>
  <si>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</si>
  <si>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</si>
  <si>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</si>
  <si>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</si>
  <si>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</si>
  <si>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</si>
  <si>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</si>
  <si>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</si>
  <si>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</si>
  <si>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</si>
  <si>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</si>
  <si>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</si>
  <si>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</si>
  <si>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</si>
  <si>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</si>
  <si>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</si>
  <si>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</si>
  <si>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</si>
  <si>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</si>
  <si>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</si>
  <si>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</si>
  <si>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</si>
  <si>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</si>
  <si>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</si>
  <si>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</si>
  <si>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</si>
  <si>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</si>
  <si>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</si>
  <si>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</si>
  <si>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</si>
  <si>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</si>
  <si>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</si>
  <si>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</si>
  <si>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</si>
  <si>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</si>
  <si>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</si>
  <si>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</si>
  <si>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</si>
  <si>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</si>
  <si>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</si>
  <si>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</si>
  <si>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</si>
  <si>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</si>
  <si>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</si>
  <si>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</si>
  <si>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</si>
  <si>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</si>
  <si>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</si>
  <si>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</si>
  <si>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</si>
  <si>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</si>
  <si>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</si>
  <si>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</si>
  <si>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</si>
  <si>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</si>
  <si>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</si>
  <si>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</si>
  <si>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</si>
  <si>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</si>
  <si>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</si>
  <si>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</si>
  <si>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</si>
  <si>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</si>
  <si>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</si>
  <si>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</si>
  <si>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</si>
  <si>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</si>
  <si>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</si>
  <si>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</si>
  <si>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</si>
  <si>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</si>
  <si>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</si>
  <si>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</si>
  <si>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</si>
  <si>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</si>
  <si>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</si>
  <si>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</si>
  <si>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</si>
  <si>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</si>
  <si>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</si>
  <si>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</si>
  <si>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</si>
  <si>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</si>
  <si>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</si>
  <si>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</si>
  <si>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</si>
  <si>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</si>
  <si>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</si>
  <si>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</si>
  <si>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</si>
  <si>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</si>
  <si>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</si>
  <si>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</si>
  <si>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</si>
  <si>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</si>
  <si>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</si>
  <si>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</si>
  <si>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</si>
  <si>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</si>
  <si>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</si>
  <si>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</si>
  <si>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</si>
  <si>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</si>
  <si>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</si>
  <si>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</si>
  <si>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</si>
  <si>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</si>
  <si>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</si>
  <si>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</si>
  <si>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</si>
  <si>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</si>
  <si>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</si>
  <si>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</si>
  <si>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</si>
  <si>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</si>
  <si>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</si>
  <si>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</si>
  <si>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</si>
  <si>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</si>
  <si>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</si>
  <si>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</si>
  <si>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</si>
  <si>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</si>
  <si>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</si>
  <si>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</si>
  <si>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</si>
  <si>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</si>
  <si>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</si>
  <si>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</si>
  <si>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</si>
  <si>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</si>
  <si>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</si>
  <si>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</si>
  <si>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</si>
  <si>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</si>
  <si>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</si>
  <si>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</si>
  <si>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</si>
  <si>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</si>
  <si>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</si>
  <si>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</si>
  <si>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</si>
  <si>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</si>
  <si>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</si>
  <si>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</si>
  <si>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</si>
  <si>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</si>
  <si>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</si>
  <si>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</si>
  <si>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</si>
  <si>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</si>
  <si>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</si>
  <si>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</si>
  <si>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</si>
  <si>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</si>
  <si>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</si>
  <si>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</si>
  <si>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</si>
  <si>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</si>
  <si>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</si>
  <si>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</si>
  <si>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</si>
  <si>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</si>
  <si>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</si>
  <si>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</si>
  <si>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</si>
  <si>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</si>
  <si>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</si>
  <si>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</si>
  <si>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</si>
  <si>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</si>
  <si>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</si>
  <si>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</si>
  <si>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</si>
  <si>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</si>
  <si>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</si>
  <si>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</si>
  <si>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</si>
  <si>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</si>
  <si>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</si>
  <si>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</si>
  <si>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</si>
  <si>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</si>
  <si>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</si>
  <si>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</si>
  <si>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</si>
  <si>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</si>
  <si>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</si>
  <si>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</si>
  <si>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</si>
  <si>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</si>
  <si>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</si>
  <si>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</si>
  <si>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</si>
  <si>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</si>
  <si>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</si>
  <si>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</si>
  <si>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</si>
  <si>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</si>
  <si>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</si>
  <si>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</si>
  <si>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</si>
  <si>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</si>
  <si>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</si>
  <si>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</si>
  <si>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</si>
  <si>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</si>
  <si>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</si>
  <si>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</si>
  <si>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</si>
  <si>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</si>
  <si>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</si>
  <si>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</si>
  <si>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</si>
  <si>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</si>
  <si>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</si>
  <si>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</si>
  <si>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</si>
  <si>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</si>
  <si>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</si>
  <si>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</si>
  <si>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</si>
  <si>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</si>
  <si>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</si>
  <si>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</si>
  <si>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</si>
  <si>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</si>
  <si>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</si>
  <si>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</si>
  <si>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</si>
  <si>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</si>
  <si>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</si>
  <si>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</si>
  <si>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</si>
  <si>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</si>
  <si>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</si>
  <si>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</si>
  <si>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</si>
  <si>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</si>
  <si>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</si>
  <si>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</si>
  <si>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</si>
  <si>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</si>
  <si>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</si>
  <si>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</si>
  <si>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</si>
  <si>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</si>
  <si>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</si>
  <si>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</si>
  <si>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</si>
  <si>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</si>
  <si>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</si>
  <si>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</si>
  <si>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</si>
  <si>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</si>
  <si>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</si>
  <si>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</si>
  <si>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</si>
  <si>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</si>
  <si>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</si>
  <si>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</si>
  <si>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</si>
  <si>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</si>
  <si>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</si>
  <si>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</si>
  <si>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</si>
  <si>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</si>
  <si>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</si>
  <si>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</si>
  <si>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</si>
  <si>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</si>
  <si>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</si>
  <si>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</si>
  <si>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</si>
  <si>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</si>
  <si>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</si>
  <si>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</si>
  <si>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</si>
  <si>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</si>
  <si>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</si>
  <si>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</si>
  <si>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</si>
  <si>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</si>
  <si>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</si>
  <si>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</si>
  <si>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</si>
  <si>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</si>
  <si>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</si>
  <si>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</si>
  <si>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</si>
  <si>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</si>
  <si>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</si>
  <si>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</si>
  <si>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</si>
  <si>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</si>
  <si>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</si>
  <si>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</si>
  <si>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</si>
  <si>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</si>
  <si>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</si>
  <si>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</si>
  <si>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</si>
  <si>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</si>
  <si>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</si>
  <si>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</si>
  <si>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</si>
  <si>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</si>
  <si>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</si>
  <si>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</si>
  <si>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</si>
  <si>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</si>
  <si>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</si>
  <si>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</si>
  <si>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</si>
  <si>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</si>
  <si>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</si>
  <si>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</si>
  <si>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</si>
  <si>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</si>
  <si>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</si>
  <si>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</si>
  <si>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</si>
  <si>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</si>
  <si>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</si>
  <si>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</si>
  <si>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</si>
  <si>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</si>
  <si>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</si>
  <si>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</si>
  <si>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</si>
  <si>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</si>
  <si>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</si>
  <si>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</si>
  <si>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</si>
  <si>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</si>
  <si>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</si>
  <si>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</si>
  <si>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</si>
  <si>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</si>
  <si>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</si>
  <si>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</si>
  <si>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</si>
  <si>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</si>
  <si>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</si>
  <si>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</si>
  <si>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</si>
  <si>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</si>
  <si>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</si>
  <si>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</si>
  <si>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</si>
  <si>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</si>
  <si>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</si>
  <si>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</si>
  <si>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</si>
  <si>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</si>
  <si>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</si>
  <si>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</si>
  <si>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</si>
  <si>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</si>
  <si>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</si>
  <si>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</si>
  <si>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</si>
  <si>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</si>
  <si>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</si>
  <si>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</si>
  <si>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</si>
  <si>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</si>
  <si>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</si>
  <si>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</si>
  <si>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</si>
  <si>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</si>
  <si>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</si>
  <si>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</si>
  <si>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</si>
  <si>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</si>
  <si>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</si>
  <si>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</si>
  <si>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</si>
  <si>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</si>
  <si>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</si>
  <si>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</si>
  <si>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</si>
  <si>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</si>
  <si>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</si>
  <si>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</si>
  <si>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</si>
  <si>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</si>
  <si>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</si>
  <si>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</si>
  <si>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</si>
  <si>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</si>
  <si>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</si>
  <si>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</si>
  <si>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</si>
  <si>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</si>
  <si>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</si>
  <si>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</si>
  <si>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</si>
  <si>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</si>
  <si>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</si>
  <si>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</si>
  <si>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</si>
  <si>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</si>
  <si>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</si>
  <si>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</si>
  <si>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</si>
  <si>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</si>
  <si>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</si>
  <si>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</si>
  <si>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</si>
  <si>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</si>
  <si>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</si>
  <si>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</si>
  <si>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</si>
  <si>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</si>
  <si>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</si>
  <si>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</si>
  <si>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</si>
  <si>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</si>
  <si>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</si>
  <si>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</si>
  <si>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</si>
  <si>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</si>
  <si>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</si>
  <si>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</si>
  <si>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</si>
  <si>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</si>
  <si>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</si>
  <si>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</si>
  <si>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</si>
  <si>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</si>
  <si>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</si>
  <si>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</si>
  <si>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</si>
  <si>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</si>
  <si>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</si>
  <si>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</si>
  <si>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</si>
  <si>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</si>
  <si>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</si>
  <si>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</si>
  <si>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</si>
  <si>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</si>
  <si>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</si>
  <si>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</si>
  <si>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</si>
  <si>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</si>
  <si>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</si>
  <si>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</si>
  <si>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</si>
  <si>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</si>
  <si>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</si>
  <si>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</si>
  <si>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</si>
  <si>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</si>
  <si>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</si>
  <si>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</si>
  <si>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</si>
  <si>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</si>
  <si>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</si>
  <si>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</si>
  <si>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</si>
  <si>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</si>
  <si>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</si>
  <si>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</si>
  <si>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</si>
  <si>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</si>
  <si>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</si>
  <si>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</si>
  <si>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</si>
  <si>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</si>
  <si>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</si>
  <si>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</si>
  <si>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</si>
  <si>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</si>
  <si>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</si>
  <si>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</si>
  <si>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</si>
  <si>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</si>
  <si>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</si>
  <si>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</si>
  <si>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</si>
  <si>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</si>
  <si>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</si>
  <si>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</si>
  <si>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</si>
  <si>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</si>
  <si>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</si>
  <si>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</si>
  <si>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</si>
  <si>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</si>
  <si>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</si>
  <si>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</si>
  <si>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</si>
  <si>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</si>
  <si>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</si>
  <si>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</si>
  <si>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</si>
  <si>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</si>
  <si>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</si>
  <si>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</si>
  <si>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</si>
  <si>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</si>
  <si>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</si>
  <si>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</si>
  <si>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</si>
  <si>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</si>
  <si>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</si>
  <si>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</si>
  <si>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</si>
  <si>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</si>
  <si>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</si>
  <si>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</si>
  <si>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</si>
  <si>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</si>
  <si>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</si>
  <si>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</si>
  <si>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</si>
  <si>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</si>
  <si>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</si>
  <si>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</si>
  <si>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</si>
  <si>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</si>
  <si>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</si>
  <si>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</si>
  <si>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</si>
  <si>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</si>
  <si>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</si>
  <si>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</si>
  <si>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</si>
  <si>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</si>
  <si>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</si>
  <si>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</si>
  <si>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</si>
  <si>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</si>
  <si>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</si>
  <si>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</si>
  <si>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</si>
  <si>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</si>
  <si>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</si>
  <si>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</si>
  <si>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</si>
  <si>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</si>
  <si>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</si>
  <si>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</si>
  <si>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</si>
  <si>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</si>
  <si>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</si>
  <si>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</si>
  <si>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</si>
  <si>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</si>
  <si>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</si>
  <si>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</si>
  <si>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</si>
  <si>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</si>
  <si>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</si>
  <si>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</si>
  <si>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</si>
  <si>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</si>
  <si>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</si>
  <si>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</si>
  <si>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</si>
  <si>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</si>
  <si>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</si>
  <si>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</si>
  <si>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</si>
  <si>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</si>
  <si>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</si>
  <si>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</si>
  <si>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</si>
  <si>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</si>
  <si>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</si>
  <si>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</si>
  <si>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</si>
  <si>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</si>
  <si>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</si>
  <si>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</si>
  <si>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</si>
  <si>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</si>
  <si>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</si>
  <si>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</si>
  <si>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</si>
  <si>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</si>
  <si>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</si>
  <si>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</si>
  <si>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</si>
  <si>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</si>
  <si>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</si>
  <si>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</si>
  <si>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</si>
  <si>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</si>
  <si>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</si>
  <si>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</si>
  <si>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</si>
  <si>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</si>
  <si>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</si>
  <si>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</si>
  <si>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</si>
  <si>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</si>
  <si>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</si>
  <si>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</si>
  <si>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</si>
  <si>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</si>
  <si>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</si>
  <si>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</si>
  <si>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</si>
  <si>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</si>
  <si>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</si>
  <si>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</si>
  <si>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</si>
  <si>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</si>
  <si>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</si>
  <si>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</si>
  <si>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</si>
  <si>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</si>
  <si>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</si>
  <si>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</si>
  <si>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</si>
  <si>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</si>
  <si>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</si>
  <si>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</si>
  <si>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</si>
  <si>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</si>
  <si>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</si>
  <si>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</si>
  <si>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</si>
  <si>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</si>
  <si>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</si>
  <si>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</si>
  <si>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</si>
  <si>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</si>
  <si>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</si>
  <si>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</si>
  <si>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</si>
  <si>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</si>
  <si>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</si>
  <si>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</si>
  <si>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</si>
  <si>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</si>
  <si>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</si>
  <si>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</si>
  <si>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</si>
  <si>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</si>
  <si>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</si>
  <si>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</si>
  <si>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</si>
  <si>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</si>
  <si>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</si>
  <si>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</si>
  <si>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</si>
  <si>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</si>
  <si>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</si>
  <si>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</si>
  <si>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</si>
  <si>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</si>
  <si>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</si>
  <si>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</si>
  <si>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</si>
  <si>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</si>
  <si>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</si>
  <si>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</si>
  <si>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</si>
  <si>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</si>
  <si>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</si>
  <si>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</si>
  <si>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</si>
  <si>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</si>
  <si>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</si>
  <si>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</si>
  <si>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</si>
  <si>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</si>
  <si>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</si>
  <si>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</si>
  <si>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</si>
  <si>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</si>
  <si>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</si>
  <si>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</si>
  <si>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</si>
  <si>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</si>
  <si>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</si>
  <si>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</si>
  <si>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</si>
  <si>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</si>
  <si>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</si>
  <si>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</si>
  <si>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</si>
  <si>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</si>
  <si>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</si>
  <si>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</si>
  <si>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</si>
  <si>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</si>
  <si>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</si>
  <si>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</si>
  <si>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</si>
  <si>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</si>
  <si>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</si>
  <si>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</si>
  <si>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</si>
  <si>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</si>
  <si>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</si>
  <si>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</si>
  <si>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</si>
  <si>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</si>
  <si>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</si>
  <si>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</si>
  <si>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</si>
  <si>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</si>
  <si>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</si>
  <si>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</si>
  <si>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</si>
  <si>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</si>
  <si>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</si>
  <si>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</si>
  <si>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</si>
  <si>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</si>
  <si>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</si>
  <si>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</si>
  <si>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</si>
  <si>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</si>
  <si>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</si>
  <si>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</si>
  <si>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</si>
  <si>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</si>
  <si>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</si>
  <si>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</si>
  <si>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</si>
  <si>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</si>
  <si>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</si>
  <si>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</si>
  <si>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</si>
  <si>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</si>
  <si>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</si>
  <si>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</si>
  <si>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</si>
  <si>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</si>
  <si>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</si>
  <si>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</si>
  <si>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</si>
  <si>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</si>
  <si>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</si>
  <si>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</si>
  <si>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</si>
  <si>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</si>
  <si>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</si>
  <si>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</si>
  <si>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</si>
  <si>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</si>
  <si>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</si>
  <si>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</si>
  <si>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</si>
  <si>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</si>
  <si>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</si>
  <si>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</si>
  <si>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</si>
  <si>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</si>
  <si>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</si>
  <si>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</si>
  <si>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</si>
  <si>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</si>
  <si>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</si>
  <si>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</si>
  <si>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</si>
  <si>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</si>
  <si>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</si>
  <si>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</si>
  <si>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</si>
  <si>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</si>
  <si>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</si>
  <si>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</si>
  <si>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</si>
  <si>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</si>
  <si>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</si>
  <si>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</si>
  <si>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</si>
  <si>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</si>
  <si>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</si>
  <si>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</si>
  <si>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</si>
  <si>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</si>
  <si>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</si>
  <si>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</si>
  <si>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</si>
  <si>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</si>
  <si>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</si>
  <si>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</si>
  <si>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</si>
  <si>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</si>
  <si>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</si>
  <si>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</si>
  <si>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</si>
  <si>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</si>
  <si>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</si>
  <si>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</si>
  <si>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</si>
  <si>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</si>
  <si>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</si>
  <si>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</si>
  <si>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</si>
  <si>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</si>
  <si>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</si>
  <si>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</si>
  <si>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</si>
  <si>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</si>
  <si>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</si>
  <si>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</si>
  <si>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</si>
  <si>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</si>
  <si>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</si>
  <si>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</si>
  <si>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</si>
  <si>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</si>
  <si>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</si>
  <si>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</si>
  <si>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</si>
  <si>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</si>
  <si>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</si>
  <si>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</si>
  <si>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</si>
  <si>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</si>
  <si>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</si>
  <si>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</si>
  <si>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</si>
  <si>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</si>
  <si>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</si>
  <si>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</si>
  <si>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</si>
  <si>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</si>
  <si>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</si>
  <si>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</si>
  <si>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</si>
  <si>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</si>
  <si>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</si>
  <si>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</si>
  <si>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</si>
  <si>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</si>
  <si>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</si>
  <si>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</si>
  <si>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</si>
  <si>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</si>
  <si>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</si>
  <si>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</si>
  <si>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</si>
  <si>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</si>
  <si>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</si>
  <si>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</si>
  <si>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</si>
  <si>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</si>
  <si>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</si>
  <si>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</si>
  <si>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</si>
  <si>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</si>
  <si>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</si>
  <si>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</si>
  <si>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</si>
  <si>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</si>
  <si>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</si>
  <si>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</si>
  <si>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</si>
  <si>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</si>
  <si>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</si>
  <si>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</si>
  <si>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</si>
  <si>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</si>
  <si>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</si>
  <si>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</si>
  <si>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</si>
  <si>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</si>
  <si>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</si>
  <si>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</si>
  <si>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</si>
  <si>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</si>
  <si>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</si>
  <si>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</si>
  <si>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</si>
  <si>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</si>
  <si>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</si>
  <si>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</si>
  <si>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</si>
  <si>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</si>
  <si>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</si>
  <si>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</si>
  <si>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</si>
  <si>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</si>
  <si>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</si>
  <si>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</si>
  <si>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</si>
  <si>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</si>
  <si>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</si>
  <si>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</si>
  <si>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</si>
  <si>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</si>
  <si>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</si>
  <si>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</si>
  <si>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</si>
  <si>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</si>
  <si>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</si>
  <si>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</si>
  <si>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</si>
  <si>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</si>
  <si>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</si>
  <si>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</si>
  <si>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</si>
  <si>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</si>
  <si>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</si>
  <si>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</si>
  <si>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</si>
  <si>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</si>
  <si>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</si>
  <si>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</si>
  <si>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</si>
  <si>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</si>
  <si>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</si>
  <si>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</si>
  <si>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</si>
  <si>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</si>
  <si>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</si>
  <si>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</si>
  <si>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</si>
  <si>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</si>
  <si>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</si>
  <si>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</si>
  <si>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</si>
  <si>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</si>
  <si>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</si>
  <si>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</si>
  <si>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</si>
  <si>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</si>
  <si>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</si>
  <si>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</si>
  <si>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</si>
  <si>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</si>
  <si>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</si>
  <si>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</si>
  <si>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</si>
  <si>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</si>
  <si>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</si>
  <si>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</si>
  <si>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</si>
  <si>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</si>
  <si>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</si>
  <si>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</si>
  <si>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</si>
  <si>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</si>
  <si>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</si>
  <si>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</si>
  <si>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</si>
  <si>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</si>
  <si>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</si>
  <si>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</si>
  <si>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</si>
  <si>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</si>
  <si>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</si>
  <si>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</si>
  <si>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</si>
  <si>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</si>
  <si>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</si>
  <si>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</si>
  <si>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</si>
  <si>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</si>
  <si>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</si>
  <si>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</si>
  <si>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</si>
  <si>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</si>
  <si>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</si>
  <si>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</si>
  <si>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</si>
  <si>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</si>
  <si>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</si>
  <si>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</si>
  <si>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</si>
  <si>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</si>
  <si>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</si>
  <si>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</si>
  <si>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</si>
  <si>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</si>
  <si>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</si>
  <si>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</si>
  <si>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</si>
  <si>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Инвестиционная программа № 775 от 23.10.2024 ГБУЗ СК "ККБ" в сфере теплоснабжения в отношении системы теплоснабжения, на территории городского округа на 2025-2028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</si>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</sst>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97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9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lignment vertical="center"/>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0" fillId="35"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0" fillId="37" borderId="15" xfId="0" applyFont="1" applyFill="1" applyBorder="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90" fontId="0" fillId="39" borderId="17" xfId="0" applyFont="1" applyFill="1" applyBorder="1" applyNumberFormat="1">
      <alignment horizontal="center" vertical="center" wrapText="1"/>
      <protection locked="0"/>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0" fillId="0" borderId="0" xfId="0" applyFont="1" applyNumberFormat="1">
      <alignment vertical="top"/>
    </xf>
    <xf numFmtId="0" fontId="22" fillId="0" borderId="12" xfId="0" applyFont="1" applyBorder="1">
      <alignment horizontal="center" vertical="center"/>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49" fontId="0" fillId="0" borderId="0" xfId="0" applyFont="1" applyNumberFormat="1">
      <alignment vertical="top"/>
    </xf>
    <xf numFmtId="0" fontId="37" fillId="0" borderId="0" xfId="0" applyFont="1">
      <alignment vertical="center" wrapText="1"/>
    </xf>
    <xf numFmtId="0" fontId="22" fillId="35" borderId="12" xfId="0" applyFont="1" applyFill="1" applyBorder="1">
      <alignment horizontal="left" vertical="center" wrapText="1" indent="2"/>
    </xf>
    <xf numFmtId="49" fontId="0" fillId="0" borderId="0" xfId="0" applyFont="1" applyNumberFormat="1">
      <alignment vertical="top"/>
    </xf>
    <xf numFmtId="0" fontId="22" fillId="35" borderId="12" xfId="0" applyFont="1" applyFill="1" applyBorder="1">
      <alignment horizontal="left" vertical="center" wrapText="1" indent="3"/>
    </xf>
    <xf numFmtId="49" fontId="0" fillId="0" borderId="0" xfId="0" applyFont="1" applyNumberFormat="1">
      <alignment vertical="top"/>
    </xf>
    <xf numFmtId="0" fontId="22" fillId="0" borderId="12" xfId="0" applyFont="1" applyBorder="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0" fillId="0" borderId="0" xfId="0" applyFont="1" applyNumberFormat="1">
      <alignment vertical="top"/>
    </xf>
    <xf numFmtId="0" fontId="22"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9" xfId="0" applyFont="1" applyFill="1" applyBorder="1">
      <alignment horizontal="left" vertical="center" wrapText="1"/>
    </xf>
    <xf numFmtId="0" fontId="22" fillId="40" borderId="20" xfId="0" applyFont="1" applyFill="1" applyBorder="1">
      <alignment horizontal="left" vertical="center" wrapText="1"/>
    </xf>
    <xf numFmtId="0" fontId="22" fillId="40" borderId="13" xfId="0" applyFont="1" applyFill="1" applyBorder="1">
      <alignment horizontal="left" vertical="center" wrapText="1"/>
    </xf>
    <xf numFmtId="49" fontId="0" fillId="0" borderId="0" xfId="0" applyFont="1" applyNumberFormat="1">
      <alignment vertical="top"/>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188"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0" fontId="45" fillId="0" borderId="17" xfId="0" applyFont="1" applyBorder="1">
      <alignment vertical="top" wrapText="1"/>
    </xf>
    <xf numFmtId="49" fontId="0" fillId="0" borderId="0" xfId="0" applyFont="1" applyNumberFormat="1">
      <alignment vertical="top"/>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2" xfId="0" applyFont="1" applyBorder="1" applyNumberFormat="1">
      <alignment horizontal="center" vertical="center" wrapText="1"/>
    </xf>
    <xf numFmtId="0" fontId="45" fillId="0" borderId="36" xfId="0" applyFont="1" applyBorder="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0" fillId="0" borderId="0" xfId="0" applyFont="1" applyNumberFormat="1">
      <alignment vertical="top"/>
    </xf>
    <xf numFmtId="0" fontId="36" fillId="0" borderId="0" xfId="0" applyFon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63" fillId="0" borderId="0" xfId="0" applyFont="1">
      <alignment vertical="center" wrapText="1"/>
    </xf>
    <xf numFmtId="49" fontId="72"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0" fontId="63" fillId="0" borderId="0" xfId="0" applyFont="1">
      <alignment vertical="center" wrapText="1"/>
    </xf>
    <xf numFmtId="49" fontId="48" fillId="0" borderId="0" xfId="0" applyFont="1" applyNumberFormat="1">
      <alignment horizontal="left" vertical="center" inden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2"/>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7" fillId="39" borderId="12" xfId="0" applyFont="1" applyFill="1" applyBorder="1">
      <alignment horizontal="left" vertical="center" wrapText="1"/>
      <protection locked="0"/>
    </xf>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190"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49" fontId="47" fillId="0" borderId="12" xfId="61" applyFont="1" applyBorder="1" applyNumberFormat="1">
      <alignment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ogk2.ru/aktsioneram-i-investoram/raskrytie-informatsii/disclosureinstand/informatsiya-raskryvaemaya-v-sootvetstvii-s-postanovleniyami-pravitelstva-rf-108-110/filial-pao-ogk-2-stavropolskaya-gres/" TargetMode="External"/><Relationship Id="rId3" Type="http://schemas.openxmlformats.org/officeDocument/2006/relationships/hyperlink" Target="https://portal.eias.ru/Portal/DownloadPage.aspx?type=12&amp;guid=a011ae8f-fd05-44ef-9157-10e5ed61592b" TargetMode="External"/><Relationship Id="rId4" Type="http://schemas.openxmlformats.org/officeDocument/2006/relationships/hyperlink" Target="https://portal.eias.ru/Portal/DownloadPage.aspx?type=12&amp;guid=3e2a3b03-8227-4f17-b20b-95534feb6b6a" TargetMode="External"/><Relationship Id="rId5" Type="http://schemas.openxmlformats.org/officeDocument/2006/relationships/hyperlink" Target="https://portal.eias.ru/Portal/DownloadPage.aspx?type=12&amp;guid=7c68dc24-c565-4a0f-a2b3-52d7895f02ab" TargetMode="External"/><Relationship Id="rId6" Type="http://schemas.openxmlformats.org/officeDocument/2006/relationships/hyperlink" Target="https://portal.eias.ru/Portal/DownloadPage.aspx?type=12&amp;guid=5bb531b9-031c-4cc3-9239-740cf6fe22bb"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B5E03-3A41-3122-AC51-3295E61EB1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53" width="5.421875" customWidth="1"/>
    <col min="2" max="2" style="5653" width="9.140625" customWidth="1"/>
    <col min="3" max="3" style="5653" width="16.421875" customWidth="1"/>
    <col min="4" max="25" style="5653" width="6.28125" customWidth="1"/>
    <col min="26" max="28" style="5653"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45DF04-1534-1E32-C7AF-9C76C212EBBC}" mc:Ignorable="x14ac xr xr2 xr3">
  <sheetPr>
    <tabColor rgb="FFCCCCFF"/>
  </sheetPr>
  <dimension ref="A1:Q79"/>
  <sheetViews>
    <sheetView topLeftCell="C16" showGridLines="0" zoomScale="90" workbookViewId="0">
      <selection activeCell="I24" sqref="I24"/>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921" width="1.00390625" customWidth="1"/>
    <col min="5" max="6" style="4921" width="55.00390625" customWidth="1"/>
    <col min="7" max="7" style="5606" width="1.00390625" customWidth="1"/>
    <col min="8" max="8" style="4921" width="18.00390625" hidden="1" customWidth="1"/>
    <col min="9" max="9" style="2830" width="59.00390625" customWidth="1"/>
    <col min="10" max="10" style="4903" width="52.140625" hidden="1" customWidth="1"/>
    <col min="11" max="11" style="4921" width="8.00390625" customWidth="1"/>
    <col min="12" max="12" style="4921" width="77.00390625" customWidth="1"/>
    <col min="13" max="16" style="4921" width="8.00390625" customWidth="1"/>
    <col min="17" max="17" style="4921" width="12.00390625" hidden="1" customWidth="1"/>
  </cols>
  <sheetData>
    <row s="4331" customFormat="1" customHeight="1" ht="3">
      <c r="A1" s="848"/>
      <c r="B1" s="306"/>
      <c r="F1" s="307" t="s">
        <v>13</v>
      </c>
      <c r="G1" s="476"/>
      <c r="H1" s="136"/>
      <c r="I1" s="476"/>
      <c r="J1" s="936"/>
      <c r="Q1" s="307" t="s">
        <v>14</v>
      </c>
    </row>
    <row s="5200" customFormat="1" customHeight="1" ht="14.25">
      <c r="A2" s="848"/>
      <c r="B2" s="163"/>
      <c r="E2" s="1805" t="str">
        <f>code</f>
        <v>Код отчёта: PP110.OPEN.INFO.PRICE.HEAT.EIAS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533" customFormat="1" customHeight="1" ht="6.3">
      <c r="A4" s="849"/>
      <c r="B4" s="297"/>
      <c r="C4" s="298"/>
      <c r="D4" s="299"/>
      <c r="E4" s="308"/>
      <c r="F4" s="309"/>
      <c r="G4" s="836"/>
      <c r="H4" s="474"/>
      <c r="I4" s="476"/>
      <c r="J4" s="939"/>
      <c r="Q4" s="301">
        <v>6</v>
      </c>
    </row>
    <row customHeight="1" ht="39.75">
      <c r="D5" s="140"/>
      <c r="E5" s="2160" t="str">
        <f>NameTemplatesInTitle</f>
        <v>Показатели, подлежащие раскрытию в сфере теплоснабжения (цены и тарифы)</v>
      </c>
      <c r="F5" s="2161"/>
      <c r="G5" s="837"/>
      <c r="J5" s="940"/>
      <c r="Q5" s="139">
        <v>38</v>
      </c>
    </row>
    <row s="3533"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533" customFormat="1" customHeight="1" ht="6.3">
      <c r="A8" s="850"/>
      <c r="B8" s="297"/>
      <c r="C8" s="298"/>
      <c r="D8" s="304"/>
      <c r="E8" s="302"/>
      <c r="F8" s="305"/>
      <c r="G8" s="142"/>
      <c r="H8" s="474"/>
      <c r="I8" s="476"/>
      <c r="J8" s="942"/>
      <c r="Q8" s="301">
        <v>6</v>
      </c>
    </row>
    <row s="4921"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533"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800">
        <v>45292.5190625</v>
      </c>
      <c r="G11" s="142"/>
      <c r="H11" s="838" t="s">
        <v>22</v>
      </c>
      <c r="J11" s="941" t="s">
        <v>23</v>
      </c>
      <c r="Q11" s="139">
        <v>0</v>
      </c>
    </row>
    <row customHeight="1" ht="22.5">
      <c r="A12" s="2163"/>
      <c r="D12" s="140"/>
      <c r="E12" s="1230" t="s">
        <v>24</v>
      </c>
      <c r="F12" s="2800">
        <v>47118.51912037037</v>
      </c>
      <c r="G12" s="138"/>
      <c r="J12" s="941" t="s">
        <v>25</v>
      </c>
      <c r="Q12" s="139">
        <v>0</v>
      </c>
    </row>
    <row s="4921" customFormat="1" customHeight="1" ht="22.5" hidden="1">
      <c r="A13" s="853" t="s">
        <v>26</v>
      </c>
      <c r="B13" s="163"/>
      <c r="C13" s="473"/>
      <c r="D13" s="475"/>
      <c r="E13" s="1840" t="s">
        <v>27</v>
      </c>
      <c r="F13" s="1797" t="s">
        <v>28</v>
      </c>
      <c r="G13" s="142"/>
      <c r="H13" s="835"/>
      <c r="I13" s="476"/>
      <c r="J13" s="1841" t="s">
        <v>29</v>
      </c>
      <c r="Q13" s="474">
        <v>0</v>
      </c>
    </row>
    <row s="4921" customFormat="1" customHeight="1" ht="27" hidden="1">
      <c r="A14" s="853" t="s">
        <v>30</v>
      </c>
      <c r="B14" s="163"/>
      <c r="C14" s="473"/>
      <c r="D14" s="475"/>
      <c r="E14" s="1230" t="s">
        <v>31</v>
      </c>
      <c r="F14" s="1832"/>
      <c r="G14" s="142"/>
      <c r="H14" s="835"/>
      <c r="I14" s="476"/>
      <c r="J14" s="941" t="s">
        <v>32</v>
      </c>
      <c r="Q14" s="474">
        <v>0</v>
      </c>
    </row>
    <row s="4921" customFormat="1" customHeight="1" ht="19.5" hidden="1">
      <c r="A15" s="853" t="s">
        <v>33</v>
      </c>
      <c r="B15" s="163"/>
      <c r="C15" s="473"/>
      <c r="D15" s="475"/>
      <c r="E15" s="1230" t="s">
        <v>34</v>
      </c>
      <c r="F15" s="1832"/>
      <c r="G15" s="142"/>
      <c r="H15" s="835"/>
      <c r="I15" s="476"/>
      <c r="J15" s="941" t="s">
        <v>35</v>
      </c>
      <c r="Q15" s="474">
        <v>0</v>
      </c>
    </row>
    <row s="3533" customFormat="1" customHeight="1" ht="6.3">
      <c r="A16" s="850"/>
      <c r="B16" s="297"/>
      <c r="C16" s="298"/>
      <c r="D16" s="304"/>
      <c r="E16" s="302"/>
      <c r="F16" s="305"/>
      <c r="G16" s="142"/>
      <c r="H16" s="474"/>
      <c r="I16" s="476"/>
      <c r="J16" s="939"/>
      <c r="Q16" s="301">
        <v>6</v>
      </c>
    </row>
    <row customHeight="1" ht="21">
      <c r="D17" s="140"/>
      <c r="E17" s="456" t="s">
        <v>36</v>
      </c>
      <c r="F17" s="5461" t="s">
        <v>37</v>
      </c>
      <c r="G17" s="138"/>
      <c r="H17" s="838" t="s">
        <v>22</v>
      </c>
      <c r="Q17" s="139">
        <v>20</v>
      </c>
    </row>
    <row customHeight="1" ht="25.5">
      <c r="D18" s="140"/>
      <c r="E18" s="1840" t="s">
        <v>38</v>
      </c>
      <c r="F18" s="5667">
        <v>45644.43350694444</v>
      </c>
      <c r="G18" s="138"/>
      <c r="I18" s="839"/>
      <c r="J18" s="2162" t="s">
        <v>39</v>
      </c>
      <c r="Q18" s="139">
        <v>0</v>
      </c>
    </row>
    <row customHeight="1" ht="25.5">
      <c r="D19" s="140"/>
      <c r="E19" s="123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667">
        <v>45658.43366898148</v>
      </c>
      <c r="G19" s="138"/>
      <c r="I19" s="839"/>
      <c r="J19" s="2162"/>
      <c r="Q19" s="139">
        <v>0</v>
      </c>
    </row>
    <row customHeight="1" ht="22.5">
      <c r="D20" s="140"/>
      <c r="E20" s="141"/>
      <c r="F20" s="335" t="str">
        <f>"Первичное "&amp;IF(TEMPLATE_GROUP="P","установление тарифов","предложение по тарифам")</f>
        <v>Первичное установление тарифов</v>
      </c>
      <c r="G20" s="138"/>
      <c r="I20" s="459"/>
      <c r="J20" s="940" t="s">
        <v>40</v>
      </c>
      <c r="Q20" s="139">
        <v>0</v>
      </c>
    </row>
    <row customHeight="1" ht="19.5">
      <c r="D21" s="140"/>
      <c r="E21" s="456" t="str">
        <f>"Дата "&amp;IF(TEMPLATE_GROUP="P","документа","подачи заявления")&amp;" об утверждении тарифов"</f>
        <v>Дата документа об утверждении тарифов</v>
      </c>
      <c r="F21" s="2800">
        <v>45278.00019675926</v>
      </c>
      <c r="G21" s="138"/>
      <c r="I21" s="840"/>
      <c r="Q21" s="139">
        <v>0</v>
      </c>
    </row>
    <row customHeight="1" ht="19.5">
      <c r="D22" s="140"/>
      <c r="E22" s="456" t="str">
        <f>"Номер "&amp;IF(TEMPLATE_GROUP="P","документа","подачи заявления")&amp;" об утверждении тарифов"</f>
        <v>Номер документа об утверждении тарифов</v>
      </c>
      <c r="F22" s="281" t="s">
        <v>41</v>
      </c>
      <c r="G22" s="138"/>
      <c r="I22" s="840"/>
      <c r="Q22" s="139">
        <v>0</v>
      </c>
    </row>
    <row customHeight="1" ht="22.5">
      <c r="D23" s="140"/>
      <c r="E23" s="456" t="s">
        <v>42</v>
      </c>
      <c r="F23" s="281" t="s">
        <v>43</v>
      </c>
      <c r="G23" s="138"/>
      <c r="Q23" s="139">
        <v>0</v>
      </c>
    </row>
    <row customHeight="1" ht="19.5">
      <c r="D24" s="140"/>
      <c r="E24" s="456" t="s">
        <v>44</v>
      </c>
      <c r="F24" s="281" t="s">
        <v>45</v>
      </c>
      <c r="G24" s="138"/>
      <c r="Q24" s="139">
        <v>0</v>
      </c>
    </row>
    <row customHeight="1" ht="22.5">
      <c r="D25" s="140"/>
      <c r="E25" s="141"/>
      <c r="F25" s="335" t="str">
        <f>"Изменение "&amp;IF(TEMPLATE_GROUP="P","тарифов","предложения по тарифам")</f>
        <v>Изменение тарифов</v>
      </c>
      <c r="G25" s="138"/>
      <c r="J25" s="940" t="s">
        <v>46</v>
      </c>
      <c r="Q25" s="139">
        <v>0</v>
      </c>
    </row>
    <row customHeight="1" ht="19.5">
      <c r="D26" s="140"/>
      <c r="E26" s="456" t="str">
        <f>"Дата "&amp;IF(TEMPLATE_GROUP="P","принятия решения","подачи заявления")&amp;" об изменении тарифов"</f>
        <v>Дата принятия решения об изменении тарифов</v>
      </c>
      <c r="F26" s="5667">
        <v>45643.434652777774</v>
      </c>
      <c r="G26" s="138"/>
      <c r="Q26" s="139">
        <v>0</v>
      </c>
    </row>
    <row customHeight="1" ht="19.5">
      <c r="D27" s="140"/>
      <c r="E27" s="1230" t="str">
        <f>"Номер "&amp;IF(TEMPLATE_GROUP="P","принятия решения","заявления")&amp;" об изменении тарифов"</f>
        <v>Номер принятия решения об изменении тарифов</v>
      </c>
      <c r="F27" s="5668" t="s">
        <v>47</v>
      </c>
      <c r="G27" s="138"/>
      <c r="Q27" s="139">
        <v>0</v>
      </c>
    </row>
    <row customHeight="1" ht="24.75">
      <c r="D28" s="140"/>
      <c r="E28" s="456" t="s">
        <v>48</v>
      </c>
      <c r="F28" s="5668" t="s">
        <v>43</v>
      </c>
      <c r="G28" s="138"/>
      <c r="Q28" s="139">
        <v>0</v>
      </c>
    </row>
    <row customHeight="1" ht="19.5">
      <c r="D29" s="140"/>
      <c r="E29" s="456" t="s">
        <v>44</v>
      </c>
      <c r="F29" s="5668" t="s">
        <v>45</v>
      </c>
      <c r="G29" s="138"/>
      <c r="Q29" s="139">
        <v>0</v>
      </c>
    </row>
    <row s="3533"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49</v>
      </c>
      <c r="G31" s="841"/>
      <c r="Q31" s="139">
        <v>20</v>
      </c>
    </row>
    <row customHeight="1" ht="21" hidden="1">
      <c r="C32" s="143"/>
      <c r="D32" s="144"/>
      <c r="E32" s="457" t="s">
        <v>50</v>
      </c>
      <c r="F32" s="282"/>
      <c r="G32" s="841"/>
      <c r="Q32" s="139">
        <v>20</v>
      </c>
    </row>
    <row customHeight="1" ht="21">
      <c r="C33" s="143"/>
      <c r="D33" s="144"/>
      <c r="E33" s="456" t="s">
        <v>51</v>
      </c>
      <c r="F33" s="282" t="s">
        <v>52</v>
      </c>
      <c r="G33" s="841"/>
      <c r="Q33" s="139">
        <v>20</v>
      </c>
    </row>
    <row customHeight="1" ht="21">
      <c r="C34" s="143"/>
      <c r="D34" s="144"/>
      <c r="E34" s="456" t="s">
        <v>53</v>
      </c>
      <c r="F34" s="282" t="s">
        <v>54</v>
      </c>
      <c r="G34" s="841"/>
      <c r="H34" s="145"/>
      <c r="Q34" s="139">
        <v>20</v>
      </c>
    </row>
    <row s="3533" customFormat="1" customHeight="1" ht="11.549999999999999">
      <c r="A35" s="850"/>
      <c r="B35" s="297"/>
      <c r="C35" s="298"/>
      <c r="D35" s="304"/>
      <c r="E35" s="302"/>
      <c r="F35" s="305"/>
      <c r="G35" s="142"/>
      <c r="H35" s="474"/>
      <c r="I35" s="476"/>
      <c r="J35" s="939"/>
      <c r="Q35" s="301">
        <v>11</v>
      </c>
    </row>
    <row customHeight="1" ht="19.5">
      <c r="A36" s="944"/>
      <c r="D36" s="144"/>
      <c r="E36" s="456" t="s">
        <v>55</v>
      </c>
      <c r="F36" s="5411" t="s">
        <v>56</v>
      </c>
      <c r="G36" s="142"/>
      <c r="Q36" s="139">
        <v>0</v>
      </c>
    </row>
    <row customHeight="1" ht="21">
      <c r="A37" s="944"/>
      <c r="D37" s="144"/>
      <c r="E37" s="456" t="s">
        <v>57</v>
      </c>
      <c r="F37" s="2819" t="s">
        <v>58</v>
      </c>
      <c r="G37" s="142"/>
      <c r="Q37" s="139">
        <v>20</v>
      </c>
    </row>
    <row s="3533" customFormat="1" customHeight="1" ht="6.3">
      <c r="A38" s="850"/>
      <c r="B38" s="297"/>
      <c r="C38" s="298"/>
      <c r="D38" s="299"/>
      <c r="E38" s="300"/>
      <c r="F38" s="1118"/>
      <c r="G38" s="138"/>
      <c r="H38" s="474"/>
      <c r="I38" s="476"/>
      <c r="J38" s="941"/>
      <c r="Q38" s="301">
        <v>6</v>
      </c>
    </row>
    <row customHeight="1" ht="36.75">
      <c r="A39" s="850"/>
      <c r="D39" s="140"/>
      <c r="E39" s="456" t="s">
        <v>59</v>
      </c>
      <c r="F39" s="775" t="s">
        <v>19</v>
      </c>
      <c r="G39" s="138"/>
      <c r="H39" s="838" t="s">
        <v>22</v>
      </c>
      <c r="Q39" s="139">
        <v>35</v>
      </c>
    </row>
    <row s="3533" customFormat="1" customHeight="1" ht="6" hidden="1">
      <c r="A40" s="849"/>
      <c r="B40" s="491"/>
      <c r="C40" s="492"/>
      <c r="D40" s="493"/>
      <c r="E40" s="494"/>
      <c r="F40" s="1118"/>
      <c r="G40" s="138"/>
      <c r="H40" s="474"/>
      <c r="I40" s="476"/>
      <c r="J40" s="941"/>
      <c r="Q40" s="495">
        <v>6</v>
      </c>
    </row>
    <row s="4921"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19</v>
      </c>
      <c r="G41" s="138"/>
      <c r="I41" s="476"/>
      <c r="J41" s="941"/>
      <c r="Q41" s="474">
        <v>0</v>
      </c>
    </row>
    <row s="3533" customFormat="1" customHeight="1" ht="6">
      <c r="A42" s="849"/>
      <c r="B42" s="491"/>
      <c r="C42" s="492"/>
      <c r="D42" s="493"/>
      <c r="E42" s="494"/>
      <c r="F42" s="1118"/>
      <c r="G42" s="138"/>
      <c r="H42" s="474"/>
      <c r="I42" s="476"/>
      <c r="J42" s="939"/>
      <c r="Q42" s="495">
        <v>0</v>
      </c>
    </row>
    <row s="4921" customFormat="1" customHeight="1" ht="27" hidden="1">
      <c r="A43" s="849"/>
      <c r="B43" s="478"/>
      <c r="C43" s="473"/>
      <c r="D43" s="475"/>
      <c r="E43" s="456" t="s">
        <v>60</v>
      </c>
      <c r="F43" s="775" t="s">
        <v>19</v>
      </c>
      <c r="G43" s="138"/>
      <c r="I43" s="476"/>
      <c r="J43" s="941"/>
      <c r="Q43" s="474">
        <v>0</v>
      </c>
    </row>
    <row s="4921" customFormat="1" customHeight="1" ht="27" hidden="1">
      <c r="A44" s="849"/>
      <c r="B44" s="478"/>
      <c r="C44" s="473"/>
      <c r="D44" s="475"/>
      <c r="E44" s="1230" t="s">
        <v>61</v>
      </c>
      <c r="F44" s="1953"/>
      <c r="G44" s="138"/>
      <c r="I44" s="476"/>
      <c r="J44" s="941"/>
      <c r="Q44" s="474">
        <v>0</v>
      </c>
    </row>
    <row s="3533" customFormat="1" customHeight="1" ht="6">
      <c r="A45" s="849"/>
      <c r="B45" s="491"/>
      <c r="C45" s="492"/>
      <c r="D45" s="493"/>
      <c r="E45" s="494"/>
      <c r="F45" s="1118"/>
      <c r="G45" s="138"/>
      <c r="H45" s="474"/>
      <c r="I45" s="476"/>
      <c r="J45" s="941"/>
      <c r="Q45" s="495">
        <v>0</v>
      </c>
    </row>
    <row s="3533" customFormat="1" customHeight="1" ht="24.75">
      <c r="A46" s="849"/>
      <c r="B46" s="491"/>
      <c r="C46" s="492"/>
      <c r="D46" s="493"/>
      <c r="E46" s="1230" t="s">
        <v>62</v>
      </c>
      <c r="F46" s="775" t="s">
        <v>19</v>
      </c>
      <c r="G46" s="138"/>
      <c r="H46" s="474"/>
      <c r="I46" s="476"/>
      <c r="J46" s="941"/>
      <c r="Q46" s="495">
        <v>0</v>
      </c>
    </row>
    <row s="4921" customFormat="1" customHeight="1" ht="24.75">
      <c r="A47" s="849"/>
      <c r="B47" s="478"/>
      <c r="C47" s="473"/>
      <c r="D47" s="475"/>
      <c r="E47" s="1230" t="s">
        <v>63</v>
      </c>
      <c r="F47" s="775" t="s">
        <v>19</v>
      </c>
      <c r="G47" s="138"/>
      <c r="I47" s="476"/>
      <c r="J47" s="941"/>
      <c r="Q47" s="474">
        <v>0</v>
      </c>
    </row>
    <row s="3533" customFormat="1" customHeight="1" ht="6">
      <c r="A48" s="849"/>
      <c r="B48" s="297"/>
      <c r="C48" s="298"/>
      <c r="D48" s="299"/>
      <c r="E48" s="300"/>
      <c r="F48" s="1118"/>
      <c r="G48" s="138"/>
      <c r="H48" s="474"/>
      <c r="I48" s="476"/>
      <c r="J48" s="941"/>
      <c r="Q48" s="301">
        <v>0</v>
      </c>
    </row>
    <row customHeight="1" ht="29.25">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t="s">
        <v>64</v>
      </c>
      <c r="G49" s="138"/>
      <c r="Q49" s="139">
        <v>0</v>
      </c>
    </row>
    <row s="3533" customFormat="1" customHeight="1" ht="6" hidden="1">
      <c r="A50" s="850"/>
      <c r="B50" s="491"/>
      <c r="C50" s="492"/>
      <c r="D50" s="304"/>
      <c r="E50" s="302"/>
      <c r="F50" s="305"/>
      <c r="G50" s="142"/>
      <c r="H50" s="474"/>
      <c r="I50" s="476"/>
      <c r="J50" s="941"/>
      <c r="Q50" s="495">
        <v>0</v>
      </c>
    </row>
    <row s="4921" customFormat="1" customHeight="1" ht="28.5" hidden="1">
      <c r="A51" s="851"/>
      <c r="B51" s="478"/>
      <c r="C51" s="595"/>
      <c r="D51" s="596"/>
      <c r="E51" s="456" t="s">
        <v>65</v>
      </c>
      <c r="F51" s="775" t="s">
        <v>19</v>
      </c>
      <c r="G51" s="597"/>
      <c r="I51" s="599"/>
      <c r="J51" s="943"/>
      <c r="P51" s="600"/>
      <c r="Q51" s="598">
        <v>0</v>
      </c>
    </row>
    <row s="3533" customFormat="1" customHeight="1" ht="6" hidden="1">
      <c r="A52" s="850"/>
      <c r="B52" s="491"/>
      <c r="C52" s="492"/>
      <c r="D52" s="304"/>
      <c r="E52" s="302"/>
      <c r="F52" s="305"/>
      <c r="G52" s="142"/>
      <c r="H52" s="474"/>
      <c r="I52" s="476"/>
      <c r="J52" s="939"/>
      <c r="Q52" s="495">
        <v>0</v>
      </c>
    </row>
    <row s="4921" customFormat="1" customHeight="1" ht="27" hidden="1">
      <c r="A53" s="851"/>
      <c r="B53" s="478"/>
      <c r="C53" s="595"/>
      <c r="D53" s="596"/>
      <c r="E53" s="456" t="s">
        <v>66</v>
      </c>
      <c r="F53" s="1113" t="s">
        <v>19</v>
      </c>
      <c r="G53" s="597"/>
      <c r="I53" s="599"/>
      <c r="J53" s="943"/>
      <c r="P53" s="600"/>
      <c r="Q53" s="598">
        <v>0</v>
      </c>
    </row>
    <row s="4921" customFormat="1" customHeight="1" ht="27" hidden="1">
      <c r="A54" s="851"/>
      <c r="B54" s="478"/>
      <c r="C54" s="595"/>
      <c r="D54" s="596"/>
      <c r="E54" s="456" t="s">
        <v>67</v>
      </c>
      <c r="F54" s="1839"/>
      <c r="G54" s="597"/>
      <c r="I54" s="599"/>
      <c r="J54" s="943"/>
      <c r="P54" s="600"/>
      <c r="Q54" s="598">
        <v>0</v>
      </c>
    </row>
    <row s="3533" customFormat="1" customHeight="1" ht="6" hidden="1">
      <c r="A55" s="850"/>
      <c r="B55" s="491"/>
      <c r="C55" s="492"/>
      <c r="D55" s="304"/>
      <c r="E55" s="302"/>
      <c r="F55" s="305"/>
      <c r="G55" s="142"/>
      <c r="H55" s="474"/>
      <c r="I55" s="476"/>
      <c r="J55" s="939"/>
      <c r="Q55" s="495">
        <v>0</v>
      </c>
    </row>
    <row s="4921" customFormat="1" customHeight="1" ht="25.5" hidden="1">
      <c r="A56" s="851"/>
      <c r="B56" s="478"/>
      <c r="C56" s="595"/>
      <c r="D56" s="596"/>
      <c r="E56" s="456" t="s">
        <v>68</v>
      </c>
      <c r="F56" s="1113" t="s">
        <v>19</v>
      </c>
      <c r="G56" s="597"/>
      <c r="I56" s="599"/>
      <c r="J56" s="943"/>
      <c r="P56" s="600"/>
      <c r="Q56" s="598">
        <v>0</v>
      </c>
    </row>
    <row s="3533" customFormat="1" customHeight="1" ht="6" hidden="1">
      <c r="A57" s="850"/>
      <c r="B57" s="491"/>
      <c r="C57" s="492"/>
      <c r="D57" s="304"/>
      <c r="E57" s="302"/>
      <c r="F57" s="305"/>
      <c r="G57" s="142"/>
      <c r="H57" s="474"/>
      <c r="I57" s="476"/>
      <c r="J57" s="939"/>
      <c r="Q57" s="495">
        <v>0</v>
      </c>
    </row>
    <row s="4921" customFormat="1" customHeight="1" ht="15" hidden="1">
      <c r="A58" s="851"/>
      <c r="B58" s="478"/>
      <c r="C58" s="595"/>
      <c r="D58" s="596"/>
      <c r="E58" s="456" t="s">
        <v>69</v>
      </c>
      <c r="F58" s="1113" t="s">
        <v>64</v>
      </c>
      <c r="G58" s="597"/>
      <c r="I58" s="599"/>
      <c r="J58" s="943"/>
      <c r="P58" s="600"/>
      <c r="Q58" s="598">
        <v>0</v>
      </c>
    </row>
    <row s="4921"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921" customFormat="1" customHeight="1" ht="15" hidden="1">
      <c r="A60" s="851"/>
      <c r="B60" s="478"/>
      <c r="C60" s="595"/>
      <c r="D60" s="596"/>
      <c r="E60" s="1230" t="s">
        <v>70</v>
      </c>
      <c r="F60" s="1216"/>
      <c r="G60" s="597"/>
      <c r="I60" s="599"/>
      <c r="J60" s="943"/>
      <c r="P60" s="600"/>
      <c r="Q60" s="598">
        <v>0</v>
      </c>
    </row>
    <row s="3533" customFormat="1" customHeight="1" ht="6" hidden="1">
      <c r="A61" s="850"/>
      <c r="B61" s="491"/>
      <c r="C61" s="492"/>
      <c r="D61" s="493"/>
      <c r="E61" s="494"/>
      <c r="F61" s="1118"/>
      <c r="G61" s="138"/>
      <c r="H61" s="474"/>
      <c r="I61" s="476"/>
      <c r="J61" s="941"/>
      <c r="Q61" s="495">
        <v>0</v>
      </c>
    </row>
    <row s="4921" customFormat="1" customHeight="1" ht="33.75" hidden="1">
      <c r="A62" s="850"/>
      <c r="B62" s="163"/>
      <c r="C62" s="473"/>
      <c r="D62" s="475"/>
      <c r="E62" s="1230" t="s">
        <v>71</v>
      </c>
      <c r="F62" s="1736" t="s">
        <v>64</v>
      </c>
      <c r="G62" s="138"/>
      <c r="H62" s="838" t="s">
        <v>22</v>
      </c>
      <c r="I62" s="476"/>
      <c r="J62" s="941"/>
      <c r="Q62" s="474">
        <v>0</v>
      </c>
    </row>
    <row s="3533" customFormat="1" customHeight="1" ht="6.3">
      <c r="A63" s="850"/>
      <c r="B63" s="297"/>
      <c r="C63" s="298"/>
      <c r="D63" s="304"/>
      <c r="E63" s="302"/>
      <c r="F63" s="305"/>
      <c r="G63" s="142"/>
      <c r="H63" s="474"/>
      <c r="I63" s="476"/>
      <c r="J63" s="939"/>
      <c r="Q63" s="301">
        <v>6</v>
      </c>
    </row>
    <row customHeight="1" ht="21">
      <c r="A64" s="852"/>
      <c r="B64" s="164"/>
      <c r="D64" s="147"/>
      <c r="E64" s="456" t="s">
        <v>72</v>
      </c>
      <c r="F64" s="281" t="s">
        <v>73</v>
      </c>
      <c r="G64" s="142"/>
      <c r="Q64" s="139">
        <v>20</v>
      </c>
    </row>
    <row customHeight="1" ht="21">
      <c r="A65" s="852"/>
      <c r="B65" s="164"/>
      <c r="D65" s="147"/>
      <c r="E65" s="456" t="s">
        <v>74</v>
      </c>
      <c r="F65" s="281" t="s">
        <v>75</v>
      </c>
      <c r="G65" s="142"/>
      <c r="Q65" s="139">
        <v>20</v>
      </c>
    </row>
    <row customHeight="1" ht="36.75">
      <c r="D66" s="140"/>
      <c r="E66" s="458" t="s">
        <v>76</v>
      </c>
      <c r="F66" s="1119"/>
      <c r="G66" s="138"/>
      <c r="Q66" s="139">
        <v>35</v>
      </c>
    </row>
    <row customHeight="1" ht="21">
      <c r="A67" s="852"/>
      <c r="D67" s="475"/>
      <c r="E67" s="456" t="s">
        <v>77</v>
      </c>
      <c r="F67" s="336" t="s">
        <v>78</v>
      </c>
      <c r="G67" s="142"/>
      <c r="Q67" s="139">
        <v>20</v>
      </c>
    </row>
    <row customHeight="1" ht="21">
      <c r="A68" s="852"/>
      <c r="B68" s="164"/>
      <c r="D68" s="147"/>
      <c r="E68" s="456" t="s">
        <v>79</v>
      </c>
      <c r="F68" s="336" t="s">
        <v>80</v>
      </c>
      <c r="G68" s="142"/>
      <c r="Q68" s="139">
        <v>20</v>
      </c>
    </row>
    <row customHeight="1" ht="21">
      <c r="A69" s="852"/>
      <c r="B69" s="164"/>
      <c r="D69" s="147"/>
      <c r="E69" s="456" t="s">
        <v>81</v>
      </c>
      <c r="F69" s="336" t="s">
        <v>82</v>
      </c>
      <c r="G69" s="142"/>
      <c r="Q69" s="139">
        <v>20</v>
      </c>
    </row>
    <row customHeight="1" ht="21">
      <c r="D70" s="475"/>
      <c r="E70" s="456" t="s">
        <v>83</v>
      </c>
      <c r="F70" s="336" t="s">
        <v>84</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85</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9B00986-B494-BC33-50A4-B44A7896A0BE}"/>
    <hyperlink ref="H17" location="Титульный!H9" display="Как заполнить?" tooltip="Помощь по работе с полями отчётной формы" xr:uid="{29532D0C-E061-CB21-4409-8B016247F7C3}"/>
    <hyperlink ref="H39" location="Титульный!H9" display="Как заполнить?" tooltip="Помощь по работе с полями отчётной формы" xr:uid="{AD6A1D41-3DCD-061F-0EA4-AF6AEED0B4C5}"/>
    <hyperlink ref="H62" location="Титульный!H9" display="Как заполнить?" tooltip="Помощь по работе с полями отчётной формы" xr:uid="{5555ED3D-4109-495E-2CE5-6239E88EA69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E766A-F3C8-4A31-77EC-DAE767861B5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921" width="8.00390625" hidden="1" customWidth="1"/>
    <col min="2" max="2" style="4903" width="6.00390625" hidden="1" customWidth="1"/>
    <col min="3" max="3" style="4921" width="3.00390625" customWidth="1"/>
    <col min="4" max="4" style="5252" width="3.00390625" customWidth="1"/>
    <col min="5" max="5" style="4921" width="6.00390625" customWidth="1"/>
    <col min="6" max="6" style="4921" width="2.7109375" hidden="1" customWidth="1"/>
    <col min="7" max="7" style="4921" width="46.7109375" customWidth="1"/>
    <col min="8" max="8" style="4921" width="42.00390625" customWidth="1"/>
    <col min="9" max="9" style="4921" width="14.00390625" customWidth="1"/>
    <col min="10" max="10" style="4866" width="3.00390625" customWidth="1"/>
    <col min="11" max="13" style="4866" width="9.140625" hidden="1"/>
    <col min="14" max="14" style="4866" width="25.7109375" hidden="1" customWidth="1"/>
    <col min="15" max="15" style="4866" width="14.421875" hidden="1" customWidth="1"/>
    <col min="16" max="19" style="2881" width="9.140625" hidden="1"/>
    <col min="20" max="27" style="4921" width="9.140625" hidden="1"/>
    <col min="28" max="28" style="4921" width="8.00390625" customWidth="1"/>
    <col min="29" max="29" style="4921" width="9.140625" hidden="1"/>
  </cols>
  <sheetData>
    <row s="4423" customFormat="1" customHeight="1" ht="5.25" hidden="1">
      <c r="A1" s="561"/>
      <c r="B1" s="576"/>
      <c r="C1" s="576"/>
      <c r="D1" s="286"/>
      <c r="F1" s="576"/>
      <c r="G1" s="312" t="s">
        <v>86</v>
      </c>
      <c r="H1" s="559" t="s">
        <v>87</v>
      </c>
      <c r="I1" s="292" t="s">
        <v>88</v>
      </c>
      <c r="J1" s="312" t="s">
        <v>86</v>
      </c>
      <c r="K1" s="312"/>
      <c r="L1" s="312"/>
      <c r="M1" s="312"/>
      <c r="N1" s="313"/>
      <c r="O1" s="312"/>
      <c r="P1" s="312"/>
      <c r="Q1" s="312"/>
      <c r="R1" s="312"/>
      <c r="S1" s="312"/>
      <c r="T1" s="292"/>
      <c r="U1" s="292"/>
      <c r="V1" s="292"/>
      <c r="W1" s="292"/>
      <c r="X1" s="292"/>
      <c r="Y1" s="292"/>
      <c r="Z1" s="292"/>
      <c r="AA1" s="292"/>
      <c r="AB1" s="292"/>
      <c r="AC1" s="217" t="s">
        <v>14</v>
      </c>
    </row>
    <row s="2871"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580" customFormat="1" customHeight="1" ht="3">
      <c r="A3" s="823"/>
      <c r="B3" s="482"/>
      <c r="C3" s="823"/>
      <c r="D3" s="229"/>
      <c r="E3" s="168"/>
      <c r="F3" s="574"/>
      <c r="G3" s="168"/>
      <c r="H3" s="168"/>
      <c r="I3" s="231"/>
      <c r="J3" s="312"/>
      <c r="K3" s="220"/>
      <c r="L3" s="220"/>
      <c r="M3" s="220"/>
      <c r="N3" s="291"/>
      <c r="O3" s="220"/>
      <c r="P3" s="290"/>
      <c r="Q3" s="290"/>
      <c r="R3" s="290"/>
      <c r="S3" s="290"/>
      <c r="AC3" s="181">
        <v>3</v>
      </c>
    </row>
    <row s="3580"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580" customFormat="1" customHeight="1" ht="3">
      <c r="A5" s="823"/>
      <c r="B5" s="482"/>
      <c r="C5" s="823"/>
      <c r="D5" s="229"/>
      <c r="E5" s="168"/>
      <c r="F5" s="574"/>
      <c r="G5" s="232"/>
      <c r="H5" s="232"/>
      <c r="I5" s="233"/>
      <c r="J5" s="220"/>
      <c r="K5" s="220"/>
      <c r="L5" s="220"/>
      <c r="M5" s="220"/>
      <c r="N5" s="291"/>
      <c r="O5" s="220"/>
      <c r="P5" s="290"/>
      <c r="Q5" s="290"/>
      <c r="R5" s="290"/>
      <c r="S5" s="290"/>
      <c r="AC5" s="181">
        <v>3</v>
      </c>
    </row>
    <row s="3580"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580" customFormat="1" customHeight="1" ht="14.699999999999998">
      <c r="A8" s="823"/>
      <c r="B8" s="482"/>
      <c r="C8" s="823"/>
      <c r="D8" s="229"/>
      <c r="E8" s="2166" t="s">
        <v>89</v>
      </c>
      <c r="F8" s="2167"/>
      <c r="G8" s="2168"/>
      <c r="H8" s="2169" t="s">
        <v>90</v>
      </c>
      <c r="I8" s="2169"/>
      <c r="J8" s="220"/>
      <c r="K8" s="220"/>
      <c r="L8" s="220"/>
      <c r="M8" s="220"/>
      <c r="N8" s="291"/>
      <c r="O8" s="220"/>
      <c r="P8" s="290"/>
      <c r="Q8" s="290"/>
      <c r="R8" s="290"/>
      <c r="S8" s="290"/>
      <c r="AC8" s="181">
        <v>14</v>
      </c>
    </row>
    <row s="3580" customFormat="1" customHeight="1" ht="21">
      <c r="A9" s="823"/>
      <c r="B9" s="482"/>
      <c r="C9" s="823"/>
      <c r="D9" s="229"/>
      <c r="E9" s="842" t="s">
        <v>91</v>
      </c>
      <c r="F9" s="842"/>
      <c r="G9" s="237" t="s">
        <v>92</v>
      </c>
      <c r="H9" s="237" t="s">
        <v>92</v>
      </c>
      <c r="I9" s="237" t="s">
        <v>88</v>
      </c>
      <c r="J9" s="220"/>
      <c r="K9" s="220"/>
      <c r="L9" s="220"/>
      <c r="M9" s="220"/>
      <c r="N9" s="291"/>
      <c r="O9" s="220"/>
      <c r="P9" s="290"/>
      <c r="Q9" s="290"/>
      <c r="R9" s="290"/>
      <c r="S9" s="290"/>
      <c r="AC9" s="181">
        <v>20</v>
      </c>
    </row>
    <row customHeight="1" ht="11.549999999999999">
      <c r="D10" s="241"/>
      <c r="E10" s="843" t="s">
        <v>93</v>
      </c>
      <c r="F10" s="843"/>
      <c r="G10" s="288" t="s">
        <v>94</v>
      </c>
      <c r="H10" s="288" t="s">
        <v>95</v>
      </c>
      <c r="I10" s="288" t="s">
        <v>96</v>
      </c>
      <c r="J10" s="251"/>
      <c r="K10" s="251"/>
      <c r="L10" s="251"/>
      <c r="M10" s="251"/>
      <c r="N10" s="236"/>
      <c r="O10" s="251"/>
      <c r="P10" s="289"/>
      <c r="Q10" s="289"/>
      <c r="R10" s="289"/>
      <c r="S10" s="289"/>
      <c r="AC10" s="148">
        <v>11</v>
      </c>
    </row>
    <row s="3580" customFormat="1" customHeight="1" ht="1.05">
      <c r="A11" s="823"/>
      <c r="B11" s="482"/>
      <c r="C11" s="823"/>
      <c r="D11" s="229"/>
      <c r="E11" s="855"/>
      <c r="F11" s="855"/>
      <c r="G11" s="238"/>
      <c r="H11" s="238"/>
      <c r="I11" s="240"/>
      <c r="J11" s="314" t="s">
        <v>97</v>
      </c>
      <c r="K11" s="220"/>
      <c r="L11" s="220"/>
      <c r="M11" s="220" t="s">
        <v>98</v>
      </c>
      <c r="N11" s="291" t="s">
        <v>99</v>
      </c>
      <c r="O11" s="220" t="s">
        <v>100</v>
      </c>
      <c r="P11" s="290"/>
      <c r="Q11" s="290"/>
      <c r="R11" s="290"/>
      <c r="S11" s="290"/>
      <c r="AC11" s="181">
        <v>1</v>
      </c>
    </row>
    <row s="3580" customFormat="1" customHeight="1" ht="15">
      <c r="A12" s="2164">
        <v>1</v>
      </c>
      <c r="B12" s="482"/>
      <c r="C12" s="823"/>
      <c r="D12" s="847"/>
      <c r="E12" s="284">
        <f>A12</f>
        <v>1</v>
      </c>
      <c r="F12" s="867" t="s">
        <v>101</v>
      </c>
      <c r="G12" s="605" t="str">
        <f>"Территория "&amp;E12</f>
        <v>Территория 1</v>
      </c>
      <c r="H12" s="857"/>
      <c r="I12" s="857"/>
      <c r="J12" s="854"/>
      <c r="K12" s="565"/>
      <c r="L12" s="565"/>
      <c r="M12" s="565"/>
      <c r="N12" s="291"/>
      <c r="O12" s="565"/>
      <c r="P12" s="290"/>
      <c r="Q12" s="290"/>
      <c r="R12" s="290"/>
      <c r="S12" s="290"/>
      <c r="AC12" s="572">
        <v>14</v>
      </c>
    </row>
    <row s="5662" customFormat="1" customHeight="1" ht="15.75">
      <c r="A13" s="2164"/>
      <c r="B13" s="482">
        <v>1</v>
      </c>
      <c r="C13" s="482"/>
      <c r="D13" s="865"/>
      <c r="E13" s="845" t="str">
        <f>A12&amp;"."&amp;B13</f>
        <v>1.1</v>
      </c>
      <c r="F13" s="860" t="s">
        <v>102</v>
      </c>
      <c r="G13" s="858" t="s">
        <v>103</v>
      </c>
      <c r="H13" s="858" t="s">
        <v>103</v>
      </c>
      <c r="I13" s="856" t="s">
        <v>104</v>
      </c>
      <c r="J13" s="565">
        <f>MERGEVALUE(G13)</f>
      </c>
      <c r="K13" s="576"/>
      <c r="L13" s="576"/>
      <c r="M13" s="565" t="str">
        <f t="array" ref="M13:M13">IF(ISERROR(MATCH(MID(N13,1,250),MID(note_ter,1,250),0)),"n","y")</f>
        <v>n</v>
      </c>
      <c r="N13" s="576"/>
      <c r="O13" s="565" t="str">
        <f>H13&amp;"("&amp;I13&amp;")"</f>
        <v>Изобильненский муниципальный округ(07520000)</v>
      </c>
      <c r="P13" s="482"/>
      <c r="Q13" s="482"/>
      <c r="R13" s="485"/>
      <c r="S13" s="482"/>
      <c r="T13" s="482"/>
      <c r="U13" s="482"/>
      <c r="V13" s="487"/>
      <c r="W13" s="487"/>
      <c r="X13" s="484"/>
      <c r="Y13" s="484"/>
      <c r="Z13" s="484"/>
      <c r="AA13" s="484"/>
      <c r="AB13" s="484"/>
      <c r="AC13" s="488">
        <v>15</v>
      </c>
    </row>
    <row s="5662" customFormat="1" customHeight="1" ht="15.75">
      <c r="A14" s="2164"/>
      <c r="B14" s="482"/>
      <c r="C14" s="477"/>
      <c r="D14" s="866"/>
      <c r="E14" s="486"/>
      <c r="F14" s="242"/>
      <c r="G14" s="480" t="s">
        <v>105</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580" customFormat="1" customHeight="1" ht="14.699999999999998">
      <c r="A15" s="823"/>
      <c r="B15" s="482"/>
      <c r="C15" s="823"/>
      <c r="D15" s="847"/>
      <c r="E15" s="859"/>
      <c r="F15" s="243"/>
      <c r="G15" s="481" t="s">
        <v>106</v>
      </c>
      <c r="H15" s="243"/>
      <c r="I15" s="244"/>
      <c r="J15" s="314"/>
      <c r="K15" s="220"/>
      <c r="L15" s="220"/>
      <c r="M15" s="220"/>
      <c r="N15" s="291" t="s">
        <v>107</v>
      </c>
      <c r="O15" s="220"/>
      <c r="P15" s="290"/>
      <c r="Q15" s="290"/>
      <c r="R15" s="290"/>
      <c r="S15" s="290"/>
      <c r="AC15" s="181">
        <v>14</v>
      </c>
    </row>
    <row s="3580"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580"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580"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505" customFormat="1" customHeight="1" ht="10.5">
      <c r="B19" s="899"/>
      <c r="D19" s="247"/>
      <c r="J19" s="220"/>
      <c r="K19" s="220"/>
      <c r="L19" s="220"/>
      <c r="M19" s="220"/>
      <c r="N19" s="291"/>
      <c r="O19" s="220"/>
      <c r="P19" s="290"/>
      <c r="Q19" s="290"/>
      <c r="R19" s="290"/>
      <c r="S19" s="290"/>
      <c r="AC19" s="246">
        <v>10</v>
      </c>
    </row>
    <row s="3505"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85</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E0F13-42E2-7E04-A78A-68CFDE22F9D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485" width="6.421875" hidden="1" customWidth="1"/>
    <col min="2" max="2" style="5485" width="2.00390625" hidden="1" customWidth="1"/>
    <col min="3" max="3" style="5485" width="3.00390625" customWidth="1"/>
    <col min="4" max="4" style="5485" width="4.00390625" customWidth="1"/>
    <col min="5" max="5" style="5485" width="44.00390625" customWidth="1"/>
    <col min="6" max="6" style="5485" width="6.421875" customWidth="1"/>
    <col min="7" max="7" style="5485" width="4.00390625" customWidth="1"/>
    <col min="8" max="8" style="5485" width="5.00390625" customWidth="1"/>
    <col min="9" max="9" style="5485" width="52.00390625" customWidth="1"/>
    <col min="10" max="10" style="5485" width="7.00390625" customWidth="1"/>
    <col min="11" max="11" style="5485" width="3.00390625" customWidth="1"/>
    <col min="12" max="12" style="5485" width="6.00390625" customWidth="1"/>
    <col min="13" max="13" style="5485" width="56.00390625" customWidth="1"/>
    <col min="14" max="14" style="3726" width="8.00390625" customWidth="1"/>
    <col min="15" max="20" style="4866" width="9.140625" hidden="1"/>
    <col min="21" max="24" style="5033" width="9.140625" hidden="1"/>
    <col min="25" max="37" style="3726" width="9.140625" hidden="1"/>
    <col min="38" max="38" style="3726" width="8.00390625" customWidth="1"/>
    <col min="39" max="39" style="5485"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Показатели, подлежащие раскрытию в сфере теплоснабжения (цены и тарифы)</v>
      </c>
      <c r="E4" s="2185"/>
      <c r="F4" s="2185"/>
      <c r="G4" s="2185"/>
      <c r="H4" s="2185"/>
      <c r="I4" s="2186"/>
      <c r="J4" s="649"/>
      <c r="K4" s="649"/>
      <c r="L4" s="649"/>
      <c r="M4" s="649"/>
      <c r="AM4" s="648">
        <v>34</v>
      </c>
    </row>
    <row s="3052" customFormat="1" customHeight="1" ht="14.699999999999998">
      <c r="A5" s="650"/>
      <c r="B5" s="650"/>
      <c r="C5" s="650"/>
      <c r="D5" s="2187" t="str">
        <f>IF(org=0,"Не определено",org)</f>
        <v>Филиал ПАО "ОГК-2"-Ставропольская ГРЭС</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2"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2"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108</v>
      </c>
      <c r="E9" s="2192"/>
      <c r="F9" s="2193" t="s">
        <v>109</v>
      </c>
      <c r="G9" s="2194"/>
      <c r="H9" s="2194"/>
      <c r="I9" s="2194"/>
      <c r="J9" s="2197" t="s">
        <v>110</v>
      </c>
      <c r="K9" s="2197"/>
      <c r="L9" s="2197"/>
      <c r="M9" s="2197"/>
      <c r="AM9" s="648">
        <v>18</v>
      </c>
    </row>
    <row customHeight="1" ht="24">
      <c r="A10" s="2191"/>
      <c r="B10" s="657"/>
      <c r="C10" s="590"/>
      <c r="D10" s="588" t="s">
        <v>91</v>
      </c>
      <c r="E10" s="588" t="s">
        <v>92</v>
      </c>
      <c r="F10" s="588" t="s">
        <v>111</v>
      </c>
      <c r="G10" s="2198" t="s">
        <v>91</v>
      </c>
      <c r="H10" s="2199"/>
      <c r="I10" s="588" t="s">
        <v>92</v>
      </c>
      <c r="J10" s="588" t="s">
        <v>111</v>
      </c>
      <c r="K10" s="2198" t="s">
        <v>91</v>
      </c>
      <c r="L10" s="2199"/>
      <c r="M10" s="588" t="s">
        <v>92</v>
      </c>
      <c r="N10" s="1692"/>
      <c r="AM10" s="648">
        <v>23</v>
      </c>
    </row>
    <row s="5485" customFormat="1" customHeight="1" ht="11.25" hidden="1">
      <c r="A11" s="658"/>
      <c r="B11" s="658"/>
      <c r="C11" s="658"/>
      <c r="D11" s="659" t="s">
        <v>112</v>
      </c>
      <c r="E11" s="659" t="s">
        <v>113</v>
      </c>
      <c r="F11" s="659" t="s">
        <v>93</v>
      </c>
      <c r="G11" s="2180" t="s">
        <v>94</v>
      </c>
      <c r="H11" s="2181"/>
      <c r="I11" s="659" t="s">
        <v>114</v>
      </c>
      <c r="J11" s="659" t="s">
        <v>95</v>
      </c>
      <c r="K11" s="2182" t="s">
        <v>96</v>
      </c>
      <c r="L11" s="2183"/>
      <c r="M11" s="659" t="s">
        <v>115</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116</v>
      </c>
      <c r="P12" s="1478" t="s">
        <v>117</v>
      </c>
      <c r="Q12" s="1478" t="s">
        <v>118</v>
      </c>
      <c r="R12" s="1478" t="s">
        <v>119</v>
      </c>
      <c r="AM12" s="648">
        <v>1</v>
      </c>
    </row>
    <row s="5485" customFormat="1" customHeight="1" ht="15.75">
      <c r="A13" s="358"/>
      <c r="B13" s="358"/>
      <c r="C13" s="591"/>
      <c r="D13" s="2173" t="s">
        <v>112</v>
      </c>
      <c r="E13" s="2174"/>
      <c r="F13" s="2177" t="s">
        <v>64</v>
      </c>
      <c r="G13" s="2178"/>
      <c r="H13" s="2179">
        <v>1</v>
      </c>
      <c r="I13" s="2170" t="str">
        <f>IF(U13="","",INDEX(TERRITORY_MR_LIST,MATCH(U13,TERRITORY_LIST_ID,0)))</f>
        <v/>
      </c>
      <c r="J13" s="2172" t="s">
        <v>19</v>
      </c>
      <c r="K13" s="667"/>
      <c r="L13" s="592" t="s">
        <v>112</v>
      </c>
      <c r="M13" s="668" t="s">
        <v>28</v>
      </c>
      <c r="N13" s="877"/>
      <c r="O13" s="1481" t="s">
        <v>120</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121</v>
      </c>
      <c r="Z13" s="669">
        <v>1705000</v>
      </c>
      <c r="AA13" s="669"/>
      <c r="AB13" s="669"/>
      <c r="AC13" s="669"/>
      <c r="AD13" s="669"/>
      <c r="AE13" s="669"/>
      <c r="AF13" s="669"/>
      <c r="AG13" s="669"/>
      <c r="AH13" s="669"/>
      <c r="AI13" s="669"/>
      <c r="AJ13" s="669"/>
      <c r="AK13" s="669"/>
      <c r="AL13" s="669"/>
      <c r="AM13" s="671">
        <v>15</v>
      </c>
    </row>
    <row s="5485" customFormat="1" customHeight="1" ht="15.75">
      <c r="A14" s="358"/>
      <c r="B14" s="358"/>
      <c r="C14" s="241"/>
      <c r="D14" s="2173"/>
      <c r="E14" s="2175"/>
      <c r="F14" s="2172"/>
      <c r="G14" s="2178"/>
      <c r="H14" s="2179"/>
      <c r="I14" s="2171"/>
      <c r="J14" s="2172"/>
      <c r="K14" s="486"/>
      <c r="L14" s="242"/>
      <c r="M14" s="672" t="s">
        <v>122</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485" customFormat="1" customHeight="1" ht="15.75">
      <c r="A15" s="358"/>
      <c r="B15" s="358"/>
      <c r="C15" s="241"/>
      <c r="D15" s="2173"/>
      <c r="E15" s="2176"/>
      <c r="F15" s="2172"/>
      <c r="G15" s="1125"/>
      <c r="H15" s="1126"/>
      <c r="I15" s="645" t="s">
        <v>123</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124</v>
      </c>
      <c r="F16" s="242"/>
      <c r="G16" s="242"/>
      <c r="H16" s="242"/>
      <c r="I16" s="242"/>
      <c r="J16" s="242"/>
      <c r="K16" s="242" t="s">
        <v>28</v>
      </c>
      <c r="L16" s="242"/>
      <c r="M16" s="673"/>
      <c r="N16" s="1692"/>
      <c r="AM16" s="648">
        <v>15</v>
      </c>
    </row>
    <row customHeight="1" ht="11.25" hidden="1">
      <c r="A17" s="648" t="s">
        <v>85</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DA01A-7192-ECDE-C678-FFA7128A7D6F}" mc:Ignorable="x14ac xr xr2 xr3">
  <sheetPr>
    <tabColor rgb="FFCCCCFF"/>
  </sheetPr>
  <dimension ref="A1:AR150"/>
  <sheetViews>
    <sheetView showGridLines="0" zoomScale="90" workbookViewId="0" tabSelected="1">
      <pane xSplit="6" ySplit="12" topLeftCell="G13" activePane="bottomRight" state="frozen"/>
      <selection pane="bottomLeft" activeCell="A13" sqref="A13"/>
      <selection pane="topRight" activeCell="G1" sqref="G1"/>
      <selection pane="bottomRight" activeCell="J37" sqref="J37:J40"/>
    </sheetView>
  </sheetViews>
  <sheetFormatPr defaultColWidth="9.140625" customHeight="1" defaultRowHeight="11.25"/>
  <cols>
    <col min="1" max="2" style="4866" width="3.7109375" hidden="1" customWidth="1"/>
    <col min="3" max="3" style="5485" width="3.00390625" customWidth="1"/>
    <col min="4" max="4" style="5485" width="6.00390625" customWidth="1"/>
    <col min="5" max="5" style="5485" width="42.00390625" customWidth="1"/>
    <col min="6" max="6" style="5485" width="15.00390625" customWidth="1"/>
    <col min="7" max="7" style="5485" width="42.00390625" customWidth="1"/>
    <col min="8" max="8" style="5485" width="3.00390625" customWidth="1"/>
    <col min="9" max="9" style="5485" width="5.00390625" customWidth="1"/>
    <col min="10" max="10" style="5485" width="47.00390625" customWidth="1"/>
    <col min="11" max="12" style="5485" width="3.00390625" customWidth="1"/>
    <col min="13" max="13" style="5485" width="5.00390625" customWidth="1"/>
    <col min="14" max="14" style="5485" width="28.00390625" customWidth="1"/>
    <col min="15" max="16" style="5485" width="3.00390625" customWidth="1"/>
    <col min="17" max="17" style="5485" width="5.00390625" customWidth="1"/>
    <col min="18" max="18" style="5485" width="34.00390625" customWidth="1"/>
    <col min="19" max="20" style="5485" width="3.7109375" customWidth="1"/>
    <col min="21" max="21" style="5485" width="5.7109375" customWidth="1"/>
    <col min="22" max="22" style="5485" width="34.421875" customWidth="1"/>
    <col min="23" max="23" style="5485" width="30.00390625" customWidth="1"/>
    <col min="24" max="24" style="5485" width="3.00390625" customWidth="1"/>
    <col min="25" max="28" style="5033" width="9.8515625" hidden="1" customWidth="1"/>
    <col min="29" max="29" style="5033" width="27.00390625" hidden="1" customWidth="1"/>
    <col min="30" max="30" style="5033" width="10.57421875" hidden="1" customWidth="1"/>
    <col min="31" max="31" style="5033" width="10.7109375" hidden="1" customWidth="1"/>
    <col min="32" max="32" style="5033" width="10.00390625" hidden="1" customWidth="1"/>
    <col min="33" max="33" style="5033" width="12.8515625" hidden="1" customWidth="1"/>
    <col min="34" max="34" style="5033" width="24.421875" hidden="1" customWidth="1"/>
    <col min="35" max="35" style="5033" width="15.8515625" hidden="1" customWidth="1"/>
    <col min="36" max="36" style="5033" width="19.421875" hidden="1" customWidth="1"/>
    <col min="37" max="37" style="5033" width="11.00390625" hidden="1" customWidth="1"/>
    <col min="38" max="38" style="5033" width="23.57421875" hidden="1" customWidth="1"/>
    <col min="39" max="39" style="5033" width="23.8515625" hidden="1" customWidth="1"/>
    <col min="40" max="40" style="5033" width="25.28125" hidden="1" customWidth="1"/>
    <col min="41" max="41" style="5033" width="16.8515625" hidden="1" customWidth="1"/>
    <col min="42" max="42" style="5033" width="29.57421875" hidden="1" customWidth="1"/>
    <col min="43" max="43" style="5033" width="29.8515625" hidden="1" customWidth="1"/>
    <col min="44" max="44" style="5485" width="9.140625" hidden="1"/>
  </cols>
  <sheetData>
    <row customHeight="1" ht="11.25" hidden="1">
      <c r="A1" s="221"/>
      <c r="AR1" s="169" t="s">
        <v>14</v>
      </c>
    </row>
    <row customHeight="1" ht="11.25" hidden="1">
      <c r="AR2" s="169">
        <v>0</v>
      </c>
    </row>
    <row customHeight="1" ht="11.25" hidden="1">
      <c r="AR3" s="169">
        <v>0</v>
      </c>
    </row>
    <row customHeight="1" ht="3">
      <c r="AR4" s="169">
        <v>3</v>
      </c>
    </row>
    <row s="3052"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2" customFormat="1" customHeight="1" ht="14.699999999999998">
      <c r="A6" s="650"/>
      <c r="B6" s="650"/>
      <c r="C6" s="650"/>
      <c r="D6" s="2228" t="str">
        <f>IF(org=0,"Не определено",org)</f>
        <v>Филиал ПАО "ОГК-2"-Ставропольская ГРЭС</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50"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2"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91</v>
      </c>
      <c r="E9" s="2166" t="s">
        <v>125</v>
      </c>
      <c r="F9" s="2168"/>
      <c r="G9" s="2192" t="s">
        <v>108</v>
      </c>
      <c r="H9" s="2192" t="s">
        <v>91</v>
      </c>
      <c r="I9" s="2192"/>
      <c r="J9" s="2192" t="s">
        <v>126</v>
      </c>
      <c r="K9" s="2220" t="s">
        <v>127</v>
      </c>
      <c r="L9" s="2220"/>
      <c r="M9" s="2220"/>
      <c r="N9" s="2220"/>
      <c r="O9" s="2220" t="s">
        <v>128</v>
      </c>
      <c r="P9" s="2220"/>
      <c r="Q9" s="2220"/>
      <c r="R9" s="2220"/>
      <c r="S9" s="2220" t="s">
        <v>129</v>
      </c>
      <c r="T9" s="2220"/>
      <c r="U9" s="2220"/>
      <c r="V9" s="2220"/>
      <c r="W9" s="2192" t="s">
        <v>130</v>
      </c>
      <c r="AR9" s="169">
        <v>27</v>
      </c>
    </row>
    <row customHeight="1" ht="31.5">
      <c r="D10" s="2192"/>
      <c r="E10" s="1349" t="s">
        <v>92</v>
      </c>
      <c r="F10" s="1349" t="s">
        <v>131</v>
      </c>
      <c r="G10" s="2192"/>
      <c r="H10" s="2192"/>
      <c r="I10" s="2192"/>
      <c r="J10" s="2192"/>
      <c r="K10" s="175" t="s">
        <v>111</v>
      </c>
      <c r="L10" s="2192" t="s">
        <v>91</v>
      </c>
      <c r="M10" s="2192"/>
      <c r="N10" s="175" t="s">
        <v>132</v>
      </c>
      <c r="O10" s="175" t="s">
        <v>111</v>
      </c>
      <c r="P10" s="2192" t="s">
        <v>91</v>
      </c>
      <c r="Q10" s="2192"/>
      <c r="R10" s="175" t="s">
        <v>132</v>
      </c>
      <c r="S10" s="348" t="s">
        <v>111</v>
      </c>
      <c r="T10" s="2192" t="s">
        <v>91</v>
      </c>
      <c r="U10" s="2192"/>
      <c r="V10" s="348" t="s">
        <v>92</v>
      </c>
      <c r="W10" s="2192"/>
      <c r="Z10" s="1324" t="s">
        <v>133</v>
      </c>
      <c r="AA10" s="1324" t="s">
        <v>134</v>
      </c>
      <c r="AB10" s="1324" t="s">
        <v>135</v>
      </c>
      <c r="AC10" s="1324" t="s">
        <v>136</v>
      </c>
      <c r="AD10" s="1324" t="s">
        <v>137</v>
      </c>
      <c r="AE10" s="1324" t="s">
        <v>138</v>
      </c>
      <c r="AF10" s="1324" t="s">
        <v>139</v>
      </c>
      <c r="AG10" s="1324" t="s">
        <v>140</v>
      </c>
      <c r="AH10" s="1324" t="s">
        <v>141</v>
      </c>
      <c r="AI10" s="1324" t="s">
        <v>142</v>
      </c>
      <c r="AJ10" s="1324" t="s">
        <v>143</v>
      </c>
      <c r="AK10" s="1324" t="s">
        <v>144</v>
      </c>
      <c r="AL10" s="1324" t="s">
        <v>145</v>
      </c>
      <c r="AM10" s="1324" t="s">
        <v>146</v>
      </c>
      <c r="AN10" s="1324" t="s">
        <v>147</v>
      </c>
      <c r="AO10" s="1324" t="s">
        <v>148</v>
      </c>
      <c r="AP10" s="1324" t="s">
        <v>149</v>
      </c>
      <c r="AQ10" s="1324" t="s">
        <v>150</v>
      </c>
      <c r="AR10" s="169">
        <v>30</v>
      </c>
    </row>
    <row s="4866" customFormat="1" customHeight="1" ht="12" hidden="1">
      <c r="D11" s="1314" t="s">
        <v>112</v>
      </c>
      <c r="E11" s="1314" t="s">
        <v>113</v>
      </c>
      <c r="F11" s="1314"/>
      <c r="G11" s="1314" t="s">
        <v>93</v>
      </c>
      <c r="H11" s="2221" t="s">
        <v>114</v>
      </c>
      <c r="I11" s="2221"/>
      <c r="J11" s="1314" t="s">
        <v>95</v>
      </c>
      <c r="K11" s="1314" t="s">
        <v>96</v>
      </c>
      <c r="L11" s="2221" t="s">
        <v>115</v>
      </c>
      <c r="M11" s="2221"/>
      <c r="N11" s="1314" t="s">
        <v>151</v>
      </c>
      <c r="O11" s="1314" t="s">
        <v>152</v>
      </c>
      <c r="P11" s="2221" t="s">
        <v>153</v>
      </c>
      <c r="Q11" s="2221"/>
      <c r="R11" s="1314" t="s">
        <v>154</v>
      </c>
      <c r="S11" s="1314" t="s">
        <v>153</v>
      </c>
      <c r="T11" s="2221" t="s">
        <v>154</v>
      </c>
      <c r="U11" s="2221"/>
      <c r="V11" s="1314" t="s">
        <v>155</v>
      </c>
      <c r="W11" s="1314" t="s">
        <v>156</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485" customFormat="1" customHeight="1" ht="17.25">
      <c r="A13" s="386"/>
      <c r="C13" s="274"/>
      <c r="D13" s="2200">
        <v>1</v>
      </c>
      <c r="E13" s="2208" t="s">
        <v>157</v>
      </c>
      <c r="F13" s="2210" t="s">
        <v>64</v>
      </c>
      <c r="G13" s="3077"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3078"/>
      <c r="I13" s="3078">
        <v>1</v>
      </c>
      <c r="J13" s="3079" t="s">
        <v>158</v>
      </c>
      <c r="K13" s="3080" t="s">
        <v>19</v>
      </c>
      <c r="L13" s="3081"/>
      <c r="M13" s="3081" t="s">
        <v>112</v>
      </c>
      <c r="N13" s="3082" t="s">
        <v>28</v>
      </c>
      <c r="O13" s="3080" t="s">
        <v>19</v>
      </c>
      <c r="P13" s="3081"/>
      <c r="Q13" s="3081" t="s">
        <v>112</v>
      </c>
      <c r="R13" s="3083" t="s">
        <v>28</v>
      </c>
      <c r="S13" s="3084" t="s">
        <v>19</v>
      </c>
      <c r="T13" s="3081"/>
      <c r="U13" s="3081" t="s">
        <v>112</v>
      </c>
      <c r="V13" s="3083" t="s">
        <v>28</v>
      </c>
      <c r="W13" s="3079"/>
      <c r="Y13" s="1332"/>
      <c r="Z13" s="1332"/>
      <c r="AA13" s="1332"/>
      <c r="AB13" s="1332" t="s">
        <v>159</v>
      </c>
      <c r="AC13" s="1332" t="s">
        <v>160</v>
      </c>
      <c r="AD13" s="1332" t="s">
        <v>161</v>
      </c>
      <c r="AE13" s="1332" t="s">
        <v>162</v>
      </c>
      <c r="AF13" s="1332" t="s">
        <v>163</v>
      </c>
      <c r="AG13" s="1332" t="s">
        <v>164</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Производство тепловой энергии. Комбинированная выработка с уст. мощностью производства электрической энергии 25 МВт и более</v>
      </c>
      <c r="AJ13" s="1332" t="str">
        <f>IF($J$13=0,"",$J$13)</f>
        <v>Тариф на коллекторах источника тепловой энергии</v>
      </c>
      <c r="AK13" s="1332" t="str">
        <f>IF($K$13="нет","без дифференциации",IF($N$13=0,"",$N$13))</f>
        <v>без дифференциации</v>
      </c>
      <c r="AL13" s="1332" t="str">
        <f>IF($O$13="нет","без дифференциации",IF($R$13=0,"",$R$13))</f>
        <v>без дифференциации</v>
      </c>
      <c r="AM13" s="1332" t="str">
        <f>IF($S$13="нет","без дифференциации",IF($V$13=0,"",$V$13))</f>
        <v>без дифференциации</v>
      </c>
      <c r="AN13" s="1332">
        <f>$I$13</f>
        <v>1</v>
      </c>
      <c r="AO13" s="1332" t="str">
        <f>$I$13&amp;"."&amp;$M$13</f>
        <v>1.1</v>
      </c>
      <c r="AP13" s="1332" t="str">
        <f>$I$13&amp;"."&amp;$M$13&amp;"."&amp;$Q$13</f>
        <v>1.1.1</v>
      </c>
      <c r="AQ13" s="1332" t="str">
        <f>$I$13&amp;"."&amp;$M$13&amp;"."&amp;$Q$13&amp;"."&amp;$U$13</f>
        <v>1.1.1.1</v>
      </c>
      <c r="AR13" s="815">
        <v>0</v>
      </c>
    </row>
    <row s="5485" customFormat="1" customHeight="1" ht="17.25">
      <c r="A14" s="386"/>
      <c r="C14" s="385"/>
      <c r="D14" s="2200"/>
      <c r="E14" s="2208"/>
      <c r="F14" s="2211"/>
      <c r="G14" s="3077"/>
      <c r="H14" s="3078"/>
      <c r="I14" s="3078"/>
      <c r="J14" s="3079"/>
      <c r="K14" s="3089"/>
      <c r="L14" s="3081"/>
      <c r="M14" s="3081"/>
      <c r="N14" s="3082" t="s">
        <v>28</v>
      </c>
      <c r="O14" s="3089"/>
      <c r="P14" s="3081"/>
      <c r="Q14" s="3081"/>
      <c r="R14" s="3083" t="s">
        <v>28</v>
      </c>
      <c r="S14" s="3084"/>
      <c r="T14" s="3090"/>
      <c r="U14" s="3091"/>
      <c r="V14" s="3092" t="s">
        <v>165</v>
      </c>
      <c r="W14" s="309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485" customFormat="1" customHeight="1" ht="17.25">
      <c r="A15" s="386"/>
      <c r="C15" s="274"/>
      <c r="D15" s="2200"/>
      <c r="E15" s="2208"/>
      <c r="F15" s="2211"/>
      <c r="G15" s="3077"/>
      <c r="H15" s="3094"/>
      <c r="I15" s="3094"/>
      <c r="J15" s="3095"/>
      <c r="K15" s="3089"/>
      <c r="L15" s="3094"/>
      <c r="M15" s="3094"/>
      <c r="N15" s="3083" t="s">
        <v>28</v>
      </c>
      <c r="O15" s="3096"/>
      <c r="P15" s="3097"/>
      <c r="Q15" s="3098"/>
      <c r="R15" s="3099" t="s">
        <v>166</v>
      </c>
      <c r="S15" s="3100"/>
      <c r="T15" s="3101"/>
      <c r="U15" s="3102"/>
      <c r="V15" s="3103"/>
      <c r="W15" s="3104"/>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485" customFormat="1" customHeight="1" ht="17.25">
      <c r="A16" s="386"/>
      <c r="C16" s="385"/>
      <c r="D16" s="2200"/>
      <c r="E16" s="2208"/>
      <c r="F16" s="2211"/>
      <c r="G16" s="3077"/>
      <c r="H16" s="3094"/>
      <c r="I16" s="3094"/>
      <c r="J16" s="3095"/>
      <c r="K16" s="3096"/>
      <c r="L16" s="3106"/>
      <c r="M16" s="3107"/>
      <c r="N16" s="3108" t="s">
        <v>167</v>
      </c>
      <c r="O16" s="3109"/>
      <c r="P16" s="3110"/>
      <c r="Q16" s="3111"/>
      <c r="R16" s="3112"/>
      <c r="S16" s="3113"/>
      <c r="T16" s="3114"/>
      <c r="U16" s="3115"/>
      <c r="V16" s="3116"/>
      <c r="W16" s="3117"/>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485" customFormat="1" customHeight="1" ht="17.25">
      <c r="A17" s="386"/>
      <c r="C17" s="385"/>
      <c r="D17" s="2201"/>
      <c r="E17" s="2209"/>
      <c r="F17" s="2212"/>
      <c r="G17" s="3121"/>
      <c r="H17" s="3122"/>
      <c r="I17" s="3123"/>
      <c r="J17" s="3124" t="s">
        <v>168</v>
      </c>
      <c r="K17" s="3125"/>
      <c r="L17" s="3126"/>
      <c r="M17" s="3127"/>
      <c r="N17" s="3128"/>
      <c r="O17" s="3129"/>
      <c r="P17" s="3130"/>
      <c r="Q17" s="3131"/>
      <c r="R17" s="3132"/>
      <c r="S17" s="3133"/>
      <c r="T17" s="3134"/>
      <c r="U17" s="3135"/>
      <c r="V17" s="3136"/>
      <c r="W17" s="313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485" customFormat="1" customHeight="1" ht="17.25">
      <c r="A18" s="386"/>
      <c r="C18" s="274"/>
      <c r="D18" s="2200">
        <v>2</v>
      </c>
      <c r="E18" s="3138" t="s">
        <v>169</v>
      </c>
      <c r="F18" s="2210" t="s">
        <v>64</v>
      </c>
      <c r="G18" s="3077" t="str">
        <f>INDEX(VD_NAME_LIST,MATCH("4190066",VD_ID_LIST,0))&amp;"; "&amp;INDEX(VD_NAME_LIST,MATCH("4190068",VD_ID_LIST,0))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H18" s="3078"/>
      <c r="I18" s="3078">
        <v>1</v>
      </c>
      <c r="J18" s="3079" t="s">
        <v>170</v>
      </c>
      <c r="K18" s="3080" t="s">
        <v>19</v>
      </c>
      <c r="L18" s="3081"/>
      <c r="M18" s="3081" t="s">
        <v>112</v>
      </c>
      <c r="N18" s="3082" t="s">
        <v>28</v>
      </c>
      <c r="O18" s="3080" t="s">
        <v>19</v>
      </c>
      <c r="P18" s="3081"/>
      <c r="Q18" s="3081" t="s">
        <v>112</v>
      </c>
      <c r="R18" s="3083" t="s">
        <v>28</v>
      </c>
      <c r="S18" s="3084" t="s">
        <v>19</v>
      </c>
      <c r="T18" s="3081"/>
      <c r="U18" s="3081" t="s">
        <v>112</v>
      </c>
      <c r="V18" s="3083" t="s">
        <v>28</v>
      </c>
      <c r="W18" s="3079"/>
      <c r="X18" s="1332"/>
      <c r="Y18" s="1332"/>
      <c r="Z18" s="1332"/>
      <c r="AA18" s="1332"/>
      <c r="AB18" s="1332" t="s">
        <v>171</v>
      </c>
      <c r="AC18" s="1332" t="s">
        <v>172</v>
      </c>
      <c r="AD18" s="1332" t="s">
        <v>173</v>
      </c>
      <c r="AE18" s="1332" t="s">
        <v>174</v>
      </c>
      <c r="AF18" s="1332" t="s">
        <v>175</v>
      </c>
      <c r="AG18" s="1332" t="s">
        <v>176</v>
      </c>
      <c r="AH18" s="133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2" t="str">
        <f>IF($G$18=0,"",$G$18)</f>
        <v>Производство тепловой энергии. Комбинированная выработка с уст. мощностью производства электрической энергии 25 МВт и более; Передача. Тепловая энергия</v>
      </c>
      <c r="AJ18" s="1332" t="str">
        <f>IF($J$18=0,"",$J$18)</f>
        <v>Тариф для потребителей, подключенных к тепловым сетям
</v>
      </c>
      <c r="AK18" s="1332" t="str">
        <f>IF($K$18="нет","без дифференциации",IF($N$18=0,"",$N$18))</f>
        <v>без дифференциации</v>
      </c>
      <c r="AL18" s="1332" t="str">
        <f>IF($O$18="нет","без дифференциации",IF($R$18=0,"",$R$18))</f>
        <v>без дифференциации</v>
      </c>
      <c r="AM18" s="1332" t="str">
        <f>IF($S$18="нет","без дифференциации",IF($V$18=0,"",$V$18))</f>
        <v>без дифференциации</v>
      </c>
      <c r="AN18" s="1837">
        <f>$I$18</f>
        <v>1</v>
      </c>
      <c r="AO18" s="1332" t="str">
        <f>$I$18&amp;"."&amp;$M$18</f>
        <v>1.1</v>
      </c>
      <c r="AP18" s="1324" t="str">
        <f>$I$18&amp;"."&amp;$M$18&amp;"."&amp;$Q$18</f>
        <v>1.1.1</v>
      </c>
      <c r="AQ18" s="1324" t="str">
        <f>$I$18&amp;"."&amp;$M$18&amp;"."&amp;$Q$18&amp;"."&amp;$U$18</f>
        <v>1.1.1.1</v>
      </c>
      <c r="AR18" s="1348">
        <v>0</v>
      </c>
    </row>
    <row s="5485" customFormat="1" customHeight="1" ht="17.25">
      <c r="A19" s="386"/>
      <c r="C19" s="385"/>
      <c r="D19" s="2200"/>
      <c r="E19" s="2229"/>
      <c r="F19" s="2211"/>
      <c r="G19" s="3077"/>
      <c r="H19" s="3078"/>
      <c r="I19" s="3078"/>
      <c r="J19" s="3079"/>
      <c r="K19" s="3089"/>
      <c r="L19" s="3081"/>
      <c r="M19" s="3081"/>
      <c r="N19" s="3082" t="s">
        <v>28</v>
      </c>
      <c r="O19" s="3089"/>
      <c r="P19" s="3081"/>
      <c r="Q19" s="3081"/>
      <c r="R19" s="3083" t="s">
        <v>28</v>
      </c>
      <c r="S19" s="3084"/>
      <c r="T19" s="3142"/>
      <c r="U19" s="3143"/>
      <c r="V19" s="3144" t="s">
        <v>165</v>
      </c>
      <c r="W19" s="3145"/>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485" customFormat="1" customHeight="1" ht="17.25">
      <c r="A20" s="386"/>
      <c r="C20" s="385"/>
      <c r="D20" s="2201"/>
      <c r="E20" s="2230"/>
      <c r="F20" s="2211"/>
      <c r="G20" s="3121"/>
      <c r="H20" s="3094"/>
      <c r="I20" s="3094"/>
      <c r="J20" s="3095"/>
      <c r="K20" s="3089"/>
      <c r="L20" s="3094"/>
      <c r="M20" s="3094"/>
      <c r="N20" s="3083" t="s">
        <v>28</v>
      </c>
      <c r="O20" s="3096"/>
      <c r="P20" s="3147"/>
      <c r="Q20" s="3148"/>
      <c r="R20" s="3149" t="s">
        <v>166</v>
      </c>
      <c r="S20" s="3150"/>
      <c r="T20" s="3151"/>
      <c r="U20" s="3152"/>
      <c r="V20" s="3153"/>
      <c r="W20" s="3154"/>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485" customFormat="1" customHeight="1" ht="17.25">
      <c r="A21" s="386"/>
      <c r="C21" s="385"/>
      <c r="D21" s="2201"/>
      <c r="E21" s="2230"/>
      <c r="F21" s="2211"/>
      <c r="G21" s="3121"/>
      <c r="H21" s="3094"/>
      <c r="I21" s="3094"/>
      <c r="J21" s="3095"/>
      <c r="K21" s="3096"/>
      <c r="L21" s="3155"/>
      <c r="M21" s="3156"/>
      <c r="N21" s="3157" t="s">
        <v>167</v>
      </c>
      <c r="O21" s="3158"/>
      <c r="P21" s="3159"/>
      <c r="Q21" s="3160"/>
      <c r="R21" s="3161"/>
      <c r="S21" s="3162"/>
      <c r="T21" s="3163"/>
      <c r="U21" s="3164"/>
      <c r="V21" s="3165"/>
      <c r="W21" s="3166"/>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485" customFormat="1" customHeight="1" ht="17.25">
      <c r="A22" s="386"/>
      <c r="C22" s="385"/>
      <c r="D22" s="2201"/>
      <c r="E22" s="2230"/>
      <c r="F22" s="2212"/>
      <c r="G22" s="3121"/>
      <c r="H22" s="3167"/>
      <c r="I22" s="3168"/>
      <c r="J22" s="3169" t="s">
        <v>168</v>
      </c>
      <c r="K22" s="3170"/>
      <c r="L22" s="3171"/>
      <c r="M22" s="3172"/>
      <c r="N22" s="3173"/>
      <c r="O22" s="3174"/>
      <c r="P22" s="3175"/>
      <c r="Q22" s="3176"/>
      <c r="R22" s="3177"/>
      <c r="S22" s="3178"/>
      <c r="T22" s="3179"/>
      <c r="U22" s="3180"/>
      <c r="V22" s="3181"/>
      <c r="W22" s="3182"/>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485" customFormat="1" customHeight="1" ht="17.25" hidden="1">
      <c r="A23" s="386"/>
      <c r="C23" s="274"/>
      <c r="D23" s="2200">
        <v>2</v>
      </c>
      <c r="E23" s="2208" t="s">
        <v>169</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t="s">
        <v>28</v>
      </c>
      <c r="AA23" s="1332" t="s">
        <v>28</v>
      </c>
      <c r="AB23" s="1332" t="s">
        <v>28</v>
      </c>
      <c r="AC23" s="1332" t="s">
        <v>28</v>
      </c>
      <c r="AD23" s="1332" t="s">
        <v>28</v>
      </c>
      <c r="AE23" s="1332" t="s">
        <v>28</v>
      </c>
      <c r="AF23" s="1332" t="s">
        <v>28</v>
      </c>
      <c r="AG23" s="1332" t="s">
        <v>28</v>
      </c>
      <c r="AH23" s="1332" t="s">
        <v>28</v>
      </c>
      <c r="AI23" s="1332" t="s">
        <v>28</v>
      </c>
      <c r="AJ23" s="1332" t="s">
        <v>28</v>
      </c>
      <c r="AK23" s="1332" t="s">
        <v>28</v>
      </c>
      <c r="AL23" s="1332" t="s">
        <v>28</v>
      </c>
      <c r="AM23" s="1332" t="s">
        <v>28</v>
      </c>
      <c r="AN23" s="1837" t="s">
        <v>28</v>
      </c>
      <c r="AO23" s="1332" t="s">
        <v>28</v>
      </c>
      <c r="AP23" s="1331" t="s">
        <v>28</v>
      </c>
      <c r="AQ23" s="1331" t="s">
        <v>28</v>
      </c>
      <c r="AR23" s="1532">
        <v>0</v>
      </c>
    </row>
    <row s="5485"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485"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485"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485"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485" customFormat="1" customHeight="1" ht="17.25">
      <c r="A28" s="386"/>
      <c r="C28" s="274"/>
      <c r="D28" s="2200">
        <v>3</v>
      </c>
      <c r="E28" s="2208" t="s">
        <v>177</v>
      </c>
      <c r="F28" s="2210" t="s">
        <v>64</v>
      </c>
      <c r="G28" s="3077" t="str">
        <f>INDEX(VD_NAME_LIST,MATCH("4190067",VD_ID_LIST,0))</f>
        <v>Производство. Теплоноситель</v>
      </c>
      <c r="H28" s="3078"/>
      <c r="I28" s="3078">
        <v>1</v>
      </c>
      <c r="J28" s="3079" t="s">
        <v>178</v>
      </c>
      <c r="K28" s="3080" t="s">
        <v>19</v>
      </c>
      <c r="L28" s="3081"/>
      <c r="M28" s="3081" t="s">
        <v>112</v>
      </c>
      <c r="N28" s="3082" t="s">
        <v>28</v>
      </c>
      <c r="O28" s="3080" t="s">
        <v>19</v>
      </c>
      <c r="P28" s="3081"/>
      <c r="Q28" s="3081" t="s">
        <v>112</v>
      </c>
      <c r="R28" s="3083" t="s">
        <v>28</v>
      </c>
      <c r="S28" s="3084" t="s">
        <v>19</v>
      </c>
      <c r="T28" s="3081"/>
      <c r="U28" s="3081" t="s">
        <v>112</v>
      </c>
      <c r="V28" s="3083" t="s">
        <v>28</v>
      </c>
      <c r="W28" s="3079"/>
      <c r="X28" s="1332"/>
      <c r="Y28" s="1332"/>
      <c r="Z28" s="1332"/>
      <c r="AA28" s="1332"/>
      <c r="AB28" s="1332" t="s">
        <v>179</v>
      </c>
      <c r="AC28" s="1332" t="s">
        <v>180</v>
      </c>
      <c r="AD28" s="1332" t="s">
        <v>181</v>
      </c>
      <c r="AE28" s="1332" t="s">
        <v>182</v>
      </c>
      <c r="AF28" s="1332" t="s">
        <v>183</v>
      </c>
      <c r="AG28" s="1332" t="s">
        <v>184</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Производство. Теплоноситель</v>
      </c>
      <c r="AJ28" s="1332" t="str">
        <f>IF($J$28=0,"",$J$28)</f>
        <v>Тариф на теплоноситель, поставляемый потребителям
</v>
      </c>
      <c r="AK28" s="1332" t="str">
        <f>IF($K$28="нет","без дифференциации",IF($N$28=0,"",$N$28))</f>
        <v>без дифференциации</v>
      </c>
      <c r="AL28" s="1332" t="str">
        <f>IF($O$28="нет","без дифференциации",IF($R$28=0,"",$R$28))</f>
        <v>без дифференциации</v>
      </c>
      <c r="AM28" s="1332" t="str">
        <f>IF($S$28="нет","без дифференциации",IF($V$28=0,"",$V$28))</f>
        <v>без дифференциации</v>
      </c>
      <c r="AN28" s="1837">
        <f>$I$28</f>
        <v>1</v>
      </c>
      <c r="AO28" s="1332" t="str">
        <f>$I$28&amp;"."&amp;$M$28</f>
        <v>1.1</v>
      </c>
      <c r="AP28" s="1324" t="str">
        <f>$I$28&amp;"."&amp;$M$28&amp;"."&amp;$Q$28</f>
        <v>1.1.1</v>
      </c>
      <c r="AQ28" s="1324" t="str">
        <f>$I$28&amp;"."&amp;$M$28&amp;"."&amp;$Q$28&amp;"."&amp;$U$28</f>
        <v>1.1.1.1</v>
      </c>
      <c r="AR28" s="1348">
        <v>0</v>
      </c>
    </row>
    <row s="5485" customFormat="1" customHeight="1" ht="17.25">
      <c r="A29" s="386"/>
      <c r="C29" s="385"/>
      <c r="D29" s="2200"/>
      <c r="E29" s="2208"/>
      <c r="F29" s="2211"/>
      <c r="G29" s="3077"/>
      <c r="H29" s="3078"/>
      <c r="I29" s="3078"/>
      <c r="J29" s="3079"/>
      <c r="K29" s="3089"/>
      <c r="L29" s="3081"/>
      <c r="M29" s="3081"/>
      <c r="N29" s="3082" t="s">
        <v>28</v>
      </c>
      <c r="O29" s="3089"/>
      <c r="P29" s="3081"/>
      <c r="Q29" s="3081"/>
      <c r="R29" s="3083" t="s">
        <v>28</v>
      </c>
      <c r="S29" s="3084"/>
      <c r="T29" s="3208"/>
      <c r="U29" s="3209"/>
      <c r="V29" s="3210" t="s">
        <v>165</v>
      </c>
      <c r="W29" s="3211"/>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485" customFormat="1" customHeight="1" ht="17.25">
      <c r="A30" s="386"/>
      <c r="C30" s="385"/>
      <c r="D30" s="2201"/>
      <c r="E30" s="2209"/>
      <c r="F30" s="2211"/>
      <c r="G30" s="3121"/>
      <c r="H30" s="3094"/>
      <c r="I30" s="3094"/>
      <c r="J30" s="3095"/>
      <c r="K30" s="3089"/>
      <c r="L30" s="3094"/>
      <c r="M30" s="3094"/>
      <c r="N30" s="3083" t="s">
        <v>28</v>
      </c>
      <c r="O30" s="3096"/>
      <c r="P30" s="3212"/>
      <c r="Q30" s="3213"/>
      <c r="R30" s="3214" t="s">
        <v>166</v>
      </c>
      <c r="S30" s="3215"/>
      <c r="T30" s="3216"/>
      <c r="U30" s="3217"/>
      <c r="V30" s="3218"/>
      <c r="W30" s="3219"/>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485" customFormat="1" customHeight="1" ht="17.25">
      <c r="A31" s="386"/>
      <c r="C31" s="385"/>
      <c r="D31" s="2201"/>
      <c r="E31" s="2209"/>
      <c r="F31" s="2211"/>
      <c r="G31" s="3121"/>
      <c r="H31" s="3094"/>
      <c r="I31" s="3094"/>
      <c r="J31" s="3095"/>
      <c r="K31" s="3096"/>
      <c r="L31" s="3220"/>
      <c r="M31" s="3221"/>
      <c r="N31" s="3222" t="s">
        <v>167</v>
      </c>
      <c r="O31" s="3223"/>
      <c r="P31" s="3224"/>
      <c r="Q31" s="3225"/>
      <c r="R31" s="3226"/>
      <c r="S31" s="3227"/>
      <c r="T31" s="3228"/>
      <c r="U31" s="3229"/>
      <c r="V31" s="3230"/>
      <c r="W31" s="3231"/>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485" customFormat="1" customHeight="1" ht="17.25">
      <c r="A32" s="386"/>
      <c r="C32" s="385"/>
      <c r="D32" s="2201"/>
      <c r="E32" s="2209"/>
      <c r="F32" s="2212"/>
      <c r="G32" s="3121"/>
      <c r="H32" s="3232"/>
      <c r="I32" s="3233"/>
      <c r="J32" s="3234" t="s">
        <v>168</v>
      </c>
      <c r="K32" s="3235"/>
      <c r="L32" s="3236"/>
      <c r="M32" s="3237"/>
      <c r="N32" s="3238"/>
      <c r="O32" s="3239"/>
      <c r="P32" s="3240"/>
      <c r="Q32" s="3241"/>
      <c r="R32" s="3242"/>
      <c r="S32" s="3243"/>
      <c r="T32" s="3244"/>
      <c r="U32" s="3245"/>
      <c r="V32" s="3246"/>
      <c r="W32" s="324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485" customFormat="1" customHeight="1" ht="17.25">
      <c r="A33" s="386"/>
      <c r="C33" s="274"/>
      <c r="D33" s="2200">
        <v>4</v>
      </c>
      <c r="E33" s="2208" t="s">
        <v>185</v>
      </c>
      <c r="F33" s="2210" t="s">
        <v>64</v>
      </c>
      <c r="G33" s="3077" t="str">
        <f>INDEX(VD_NAME_LIST,MATCH("4190066",VD_ID_LIST,0))&amp;"; "&amp;INDEX(VD_NAME_LIST,MATCH("4190067",VD_ID_LIST,0))&amp;"; "&amp;INDEX(VD_NAME_LIST,MATCH("4190068",VD_ID_LIST,0))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H33" s="3078"/>
      <c r="I33" s="3078">
        <v>1</v>
      </c>
      <c r="J33" s="3079" t="s">
        <v>186</v>
      </c>
      <c r="K33" s="3080" t="s">
        <v>19</v>
      </c>
      <c r="L33" s="3081"/>
      <c r="M33" s="3081" t="s">
        <v>112</v>
      </c>
      <c r="N33" s="3082" t="s">
        <v>28</v>
      </c>
      <c r="O33" s="3080" t="s">
        <v>19</v>
      </c>
      <c r="P33" s="3081"/>
      <c r="Q33" s="3081" t="s">
        <v>112</v>
      </c>
      <c r="R33" s="3083" t="s">
        <v>28</v>
      </c>
      <c r="S33" s="3084" t="s">
        <v>19</v>
      </c>
      <c r="T33" s="3081"/>
      <c r="U33" s="3081" t="s">
        <v>112</v>
      </c>
      <c r="V33" s="3083" t="s">
        <v>28</v>
      </c>
      <c r="W33" s="3079"/>
      <c r="X33" s="1332"/>
      <c r="Y33" s="1332"/>
      <c r="Z33" s="1332"/>
      <c r="AA33" s="1332"/>
      <c r="AB33" s="1332" t="s">
        <v>187</v>
      </c>
      <c r="AC33" s="1332" t="s">
        <v>188</v>
      </c>
      <c r="AD33" s="1332" t="s">
        <v>189</v>
      </c>
      <c r="AE33" s="1332" t="s">
        <v>190</v>
      </c>
      <c r="AF33" s="1332" t="s">
        <v>191</v>
      </c>
      <c r="AG33" s="1332" t="s">
        <v>192</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AJ33" s="1332" t="str">
        <f>IF($J$33=0,"",$J$33)</f>
        <v>Тариф на горячую воду, поставляемую потребителям с коллекторов</v>
      </c>
      <c r="AK33" s="1332" t="str">
        <f>IF($K$33="нет","без дифференциации",IF($N$33=0,"",$N$33))</f>
        <v>без дифференциации</v>
      </c>
      <c r="AL33" s="1332" t="str">
        <f>IF($O$33="нет","без дифференциации",IF($R$33=0,"",$R$33))</f>
        <v>без дифференциации</v>
      </c>
      <c r="AM33" s="1332" t="str">
        <f>IF($S$33="нет","без дифференциации",IF($V$33=0,"",$V$33))</f>
        <v>без дифференциации</v>
      </c>
      <c r="AN33" s="1837">
        <f>$I$33</f>
        <v>1</v>
      </c>
      <c r="AO33" s="1332" t="str">
        <f>$I$33&amp;"."&amp;$M$33</f>
        <v>1.1</v>
      </c>
      <c r="AP33" s="1324" t="str">
        <f>$I$33&amp;"."&amp;$M$33&amp;"."&amp;$Q$33</f>
        <v>1.1.1</v>
      </c>
      <c r="AQ33" s="1324" t="str">
        <f>$I$33&amp;"."&amp;$M$33&amp;"."&amp;$Q$33&amp;"."&amp;$U$33</f>
        <v>1.1.1.1</v>
      </c>
      <c r="AR33" s="1348">
        <v>0</v>
      </c>
    </row>
    <row s="5485" customFormat="1" customHeight="1" ht="17.25">
      <c r="A34" s="386"/>
      <c r="C34" s="385"/>
      <c r="D34" s="2200"/>
      <c r="E34" s="2208"/>
      <c r="F34" s="2211"/>
      <c r="G34" s="3077"/>
      <c r="H34" s="3078"/>
      <c r="I34" s="3078"/>
      <c r="J34" s="3079"/>
      <c r="K34" s="3089"/>
      <c r="L34" s="3081"/>
      <c r="M34" s="3081"/>
      <c r="N34" s="3082" t="s">
        <v>28</v>
      </c>
      <c r="O34" s="3089"/>
      <c r="P34" s="3081"/>
      <c r="Q34" s="3081"/>
      <c r="R34" s="3083" t="s">
        <v>28</v>
      </c>
      <c r="S34" s="3084"/>
      <c r="T34" s="3248"/>
      <c r="U34" s="3249"/>
      <c r="V34" s="3250" t="s">
        <v>165</v>
      </c>
      <c r="W34" s="3251"/>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485" customFormat="1" customHeight="1" ht="17.25">
      <c r="A35" s="386"/>
      <c r="C35" s="385"/>
      <c r="D35" s="2201"/>
      <c r="E35" s="2209"/>
      <c r="F35" s="2211"/>
      <c r="G35" s="3121"/>
      <c r="H35" s="3094"/>
      <c r="I35" s="3094"/>
      <c r="J35" s="3095"/>
      <c r="K35" s="3089"/>
      <c r="L35" s="3094"/>
      <c r="M35" s="3094"/>
      <c r="N35" s="3083" t="s">
        <v>28</v>
      </c>
      <c r="O35" s="3096"/>
      <c r="P35" s="3252"/>
      <c r="Q35" s="3253"/>
      <c r="R35" s="3254" t="s">
        <v>166</v>
      </c>
      <c r="S35" s="3255"/>
      <c r="T35" s="3256"/>
      <c r="U35" s="3257"/>
      <c r="V35" s="3258"/>
      <c r="W35" s="3259"/>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485" customFormat="1" customHeight="1" ht="17.25">
      <c r="A36" s="386"/>
      <c r="C36" s="385"/>
      <c r="D36" s="2201"/>
      <c r="E36" s="2209"/>
      <c r="F36" s="2211"/>
      <c r="G36" s="3121"/>
      <c r="H36" s="3094"/>
      <c r="I36" s="3094"/>
      <c r="J36" s="3095"/>
      <c r="K36" s="3096"/>
      <c r="L36" s="3260"/>
      <c r="M36" s="3261"/>
      <c r="N36" s="3262" t="s">
        <v>167</v>
      </c>
      <c r="O36" s="3263"/>
      <c r="P36" s="3264"/>
      <c r="Q36" s="3265"/>
      <c r="R36" s="3266"/>
      <c r="S36" s="3267"/>
      <c r="T36" s="3268"/>
      <c r="U36" s="3269"/>
      <c r="V36" s="3270"/>
      <c r="W36" s="3271"/>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customHeight="1" ht="17.25">
      <c r="A37" s="1905"/>
      <c r="B37" s="3273"/>
      <c r="C37" s="1907"/>
      <c r="D37" s="1895"/>
      <c r="E37" s="1912"/>
      <c r="F37" s="1849"/>
      <c r="G37" s="1913"/>
      <c r="H37" s="2594" t="s">
        <v>193</v>
      </c>
      <c r="I37" s="2594" t="s">
        <v>113</v>
      </c>
      <c r="J37" s="2566" t="s">
        <v>194</v>
      </c>
      <c r="K37" s="2250" t="s">
        <v>19</v>
      </c>
      <c r="L37" s="2173"/>
      <c r="M37" s="2173" t="s">
        <v>112</v>
      </c>
      <c r="N37" s="3281" t="s">
        <v>28</v>
      </c>
      <c r="O37" s="2250" t="s">
        <v>19</v>
      </c>
      <c r="P37" s="2173"/>
      <c r="Q37" s="2173" t="s">
        <v>112</v>
      </c>
      <c r="R37" s="3282" t="s">
        <v>28</v>
      </c>
      <c r="S37" s="2172" t="s">
        <v>19</v>
      </c>
      <c r="T37" s="1876"/>
      <c r="U37" s="1876" t="s">
        <v>112</v>
      </c>
      <c r="V37" s="3284" t="s">
        <v>28</v>
      </c>
      <c r="W37" s="1866"/>
      <c r="X37" s="3273"/>
      <c r="Y37" s="1332"/>
      <c r="Z37" s="1332"/>
      <c r="AA37" s="1332"/>
      <c r="AB37" s="1332"/>
      <c r="AC37" s="3286" t="s">
        <v>188</v>
      </c>
      <c r="AD37" s="1332" t="s">
        <v>195</v>
      </c>
      <c r="AE37" s="1332" t="s">
        <v>196</v>
      </c>
      <c r="AF37" s="1332" t="s">
        <v>197</v>
      </c>
      <c r="AG37" s="1332" t="s">
        <v>198</v>
      </c>
      <c r="AH37"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332" t="str">
        <f>IF($G$33=0,"",$G$33)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AJ37" s="1332" t="str">
        <f>IF($J$37=0,"",$J$37)</f>
        <v>Тариф на горячую воду, поставляемую потребителям из тепловых сетей​</v>
      </c>
      <c r="AK37" s="1332" t="str">
        <f>IF($K$37="нет","без дифференциации",IF($N$37=0,"",$N$37))</f>
        <v>без дифференциации</v>
      </c>
      <c r="AL37" s="1909" t="str">
        <f>IF($O$37="нет","без дифференциации",IF($R$37=0,"",$R$37))</f>
        <v>без дифференциации</v>
      </c>
      <c r="AM37" s="1909" t="str">
        <f>IF($S$37="нет","без дифференциации",IF($V$37=0,"",$V$37))</f>
        <v>без дифференциации</v>
      </c>
      <c r="AN37" s="1332" t="str">
        <f>$I$37</f>
        <v>2</v>
      </c>
      <c r="AO37" s="1332" t="str">
        <f>$I$37&amp;"."&amp;$M$37</f>
        <v>2.1</v>
      </c>
      <c r="AP37" s="1332" t="str">
        <f>$I$37&amp;"."&amp;$M$37&amp;"."&amp;$Q$37</f>
        <v>2.1.1</v>
      </c>
      <c r="AQ37" s="1332" t="str">
        <f>$I$37&amp;"."&amp;$M$37&amp;"."&amp;$Q$37&amp;"."&amp;$U$37</f>
        <v>2.1.1.1</v>
      </c>
      <c r="AR37" s="3273"/>
    </row>
    <row customHeight="1" ht="17.25">
      <c r="A38" s="1905"/>
      <c r="B38" s="3273"/>
      <c r="C38" s="1910"/>
      <c r="D38" s="1895"/>
      <c r="E38" s="1912"/>
      <c r="F38" s="1849"/>
      <c r="G38" s="1913"/>
      <c r="H38" s="2594"/>
      <c r="I38" s="2594"/>
      <c r="J38" s="2566"/>
      <c r="K38" s="2251"/>
      <c r="L38" s="2173"/>
      <c r="M38" s="2173"/>
      <c r="N38" s="3281" t="s">
        <v>28</v>
      </c>
      <c r="O38" s="2251"/>
      <c r="P38" s="2173"/>
      <c r="Q38" s="2173"/>
      <c r="R38" s="3282" t="s">
        <v>28</v>
      </c>
      <c r="S38" s="2172"/>
      <c r="T38" s="382"/>
      <c r="U38" s="383"/>
      <c r="V38" s="383" t="s">
        <v>165</v>
      </c>
      <c r="W38" s="384"/>
      <c r="X38" s="3273"/>
      <c r="Y38" s="1324"/>
      <c r="Z38" s="1324"/>
      <c r="AA38" s="1324"/>
      <c r="AB38" s="1324"/>
      <c r="AC38" s="1324"/>
      <c r="AD38" s="1324"/>
      <c r="AE38" s="1324"/>
      <c r="AF38" s="1324"/>
      <c r="AG38" s="1324"/>
      <c r="AH38" s="1324"/>
      <c r="AI38" s="1324"/>
      <c r="AJ38" s="1324"/>
      <c r="AK38" s="1324"/>
      <c r="AL38" s="3273"/>
      <c r="AM38" s="3273"/>
      <c r="AN38" s="3273"/>
      <c r="AO38" s="3273"/>
      <c r="AP38" s="3273"/>
      <c r="AQ38" s="3273"/>
      <c r="AR38" s="3273"/>
    </row>
    <row customHeight="1" ht="17.25">
      <c r="A39" s="1905"/>
      <c r="B39" s="3273"/>
      <c r="C39" s="1910"/>
      <c r="D39" s="1895"/>
      <c r="E39" s="1912"/>
      <c r="F39" s="1849"/>
      <c r="G39" s="1913"/>
      <c r="H39" s="2568"/>
      <c r="I39" s="2568"/>
      <c r="J39" s="2598"/>
      <c r="K39" s="2251"/>
      <c r="L39" s="2568"/>
      <c r="M39" s="2568"/>
      <c r="N39" s="3295" t="s">
        <v>28</v>
      </c>
      <c r="O39" s="2177"/>
      <c r="P39" s="382"/>
      <c r="Q39" s="383"/>
      <c r="R39" s="383" t="s">
        <v>166</v>
      </c>
      <c r="S39" s="1911"/>
      <c r="T39" s="1911"/>
      <c r="U39" s="1911"/>
      <c r="V39" s="1911"/>
      <c r="W39" s="384"/>
      <c r="X39" s="3273"/>
      <c r="Y39" s="1324"/>
      <c r="Z39" s="1324"/>
      <c r="AA39" s="1324"/>
      <c r="AB39" s="1324"/>
      <c r="AC39" s="1324"/>
      <c r="AD39" s="1324"/>
      <c r="AE39" s="1324"/>
      <c r="AF39" s="1324"/>
      <c r="AG39" s="1324"/>
      <c r="AH39" s="1324"/>
      <c r="AI39" s="1324"/>
      <c r="AJ39" s="1324"/>
      <c r="AK39" s="1324"/>
      <c r="AL39" s="3273"/>
      <c r="AM39" s="3273"/>
      <c r="AN39" s="3273"/>
      <c r="AO39" s="3273"/>
      <c r="AP39" s="3273"/>
      <c r="AQ39" s="3273"/>
      <c r="AR39" s="3273"/>
    </row>
    <row customHeight="1" ht="17.25">
      <c r="A40" s="1905"/>
      <c r="B40" s="3273"/>
      <c r="C40" s="1910"/>
      <c r="D40" s="1895"/>
      <c r="E40" s="1912"/>
      <c r="F40" s="1849"/>
      <c r="G40" s="1913"/>
      <c r="H40" s="2568"/>
      <c r="I40" s="2568"/>
      <c r="J40" s="2598"/>
      <c r="K40" s="2177"/>
      <c r="L40" s="382"/>
      <c r="M40" s="383"/>
      <c r="N40" s="383" t="s">
        <v>167</v>
      </c>
      <c r="O40" s="383"/>
      <c r="P40" s="383"/>
      <c r="Q40" s="383"/>
      <c r="R40" s="383"/>
      <c r="S40" s="1911"/>
      <c r="T40" s="1911"/>
      <c r="U40" s="1911"/>
      <c r="V40" s="1911"/>
      <c r="W40" s="384"/>
      <c r="X40" s="3273"/>
      <c r="Y40" s="1324"/>
      <c r="Z40" s="1324"/>
      <c r="AA40" s="1324"/>
      <c r="AB40" s="1324"/>
      <c r="AC40" s="1324"/>
      <c r="AD40" s="1324"/>
      <c r="AE40" s="1324"/>
      <c r="AF40" s="1324"/>
      <c r="AG40" s="1324"/>
      <c r="AH40" s="1324"/>
      <c r="AI40" s="1324"/>
      <c r="AJ40" s="1324"/>
      <c r="AK40" s="1324"/>
      <c r="AL40" s="3273"/>
      <c r="AM40" s="3273"/>
      <c r="AN40" s="3273"/>
      <c r="AO40" s="3273"/>
      <c r="AP40" s="3273"/>
      <c r="AQ40" s="3273"/>
      <c r="AR40" s="3273"/>
    </row>
    <row s="5485" customFormat="1" customHeight="1" ht="17.25">
      <c r="A41" s="386"/>
      <c r="C41" s="385"/>
      <c r="D41" s="2201"/>
      <c r="E41" s="2209"/>
      <c r="F41" s="2212"/>
      <c r="G41" s="3121"/>
      <c r="H41" s="3297"/>
      <c r="I41" s="3298"/>
      <c r="J41" s="3299" t="s">
        <v>168</v>
      </c>
      <c r="K41" s="3300"/>
      <c r="L41" s="3301"/>
      <c r="M41" s="3302"/>
      <c r="N41" s="3303"/>
      <c r="O41" s="3304"/>
      <c r="P41" s="3305"/>
      <c r="Q41" s="3306"/>
      <c r="R41" s="3307"/>
      <c r="S41" s="3308"/>
      <c r="T41" s="3309"/>
      <c r="U41" s="3310"/>
      <c r="V41" s="3311"/>
      <c r="W41" s="3312"/>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485" customFormat="1" customHeight="1" ht="17.25">
      <c r="A42" s="386"/>
      <c r="C42" s="274"/>
      <c r="D42" s="2200">
        <v>5</v>
      </c>
      <c r="E42" s="2208" t="s">
        <v>199</v>
      </c>
      <c r="F42" s="2210" t="s">
        <v>19</v>
      </c>
      <c r="G42" s="2208"/>
      <c r="H42" s="2213"/>
      <c r="I42" s="2215"/>
      <c r="J42" s="2217"/>
      <c r="K42" s="2202"/>
      <c r="L42" s="2202"/>
      <c r="M42" s="2202"/>
      <c r="N42" s="2204"/>
      <c r="O42" s="2202"/>
      <c r="P42" s="2202"/>
      <c r="Q42" s="2202"/>
      <c r="R42" s="2207"/>
      <c r="S42" s="2202"/>
      <c r="T42" s="1485"/>
      <c r="U42" s="1485"/>
      <c r="V42" s="1484"/>
      <c r="W42" s="1361"/>
      <c r="X42" s="1332"/>
      <c r="Y42" s="1332"/>
      <c r="Z42" s="1332"/>
      <c r="AA42" s="1332"/>
      <c r="AB42" s="1332"/>
      <c r="AC42" s="1332" t="s">
        <v>200</v>
      </c>
      <c r="AD42" s="1332" t="s">
        <v>201</v>
      </c>
      <c r="AE42" s="1332" t="s">
        <v>202</v>
      </c>
      <c r="AF42" s="1332" t="s">
        <v>203</v>
      </c>
      <c r="AG42" s="1332" t="s">
        <v>204</v>
      </c>
      <c r="AH42" s="1332" t="str">
        <f>IF($E$42=0,"",$E$42)</f>
        <v>Тарифы на услуги по передаче тепловой энергии</v>
      </c>
      <c r="AI42" s="1332" t="str">
        <f>IF($G$42=0,"",$G$42)</f>
        <v/>
      </c>
      <c r="AJ42" s="1332" t="str">
        <f>IF($J$42=0,"",$J$42)</f>
        <v/>
      </c>
      <c r="AK42" s="1332" t="str">
        <f>IF($K$42="нет","без дифференциации",IF($N$42=0,"",$N$42))</f>
        <v/>
      </c>
      <c r="AL42" s="1332" t="str">
        <f>IF($O$42="нет","без дифференциации",IF($R$42=0,"",$R$42))</f>
        <v/>
      </c>
      <c r="AM42" s="1332" t="str">
        <f>IF($S$42="нет","без дифференциации",IF($V$42=0,"",$V$42))</f>
        <v/>
      </c>
      <c r="AN42" s="1837">
        <f>$I$42</f>
        <v>0</v>
      </c>
      <c r="AO42" s="1332" t="str">
        <f>$I$42&amp;"."&amp;$M$42</f>
        <v>.</v>
      </c>
      <c r="AP42" s="1324" t="str">
        <f>$I$42&amp;"."&amp;$M$42&amp;"."&amp;$Q$42</f>
        <v>..</v>
      </c>
      <c r="AQ42" s="1324" t="str">
        <f>$I$42&amp;"."&amp;$M$42&amp;"."&amp;$Q$42&amp;"."&amp;$U$42</f>
        <v>...</v>
      </c>
      <c r="AR42" s="1348">
        <v>0</v>
      </c>
    </row>
    <row s="5485" customFormat="1" customHeight="1" ht="17.25">
      <c r="A43" s="386"/>
      <c r="C43" s="385"/>
      <c r="D43" s="2200"/>
      <c r="E43" s="2208"/>
      <c r="F43" s="2211"/>
      <c r="G43" s="2208"/>
      <c r="H43" s="2214"/>
      <c r="I43" s="2216"/>
      <c r="J43" s="2218"/>
      <c r="K43" s="2203"/>
      <c r="L43" s="2203"/>
      <c r="M43" s="2203"/>
      <c r="N43" s="2205"/>
      <c r="O43" s="2203"/>
      <c r="P43" s="2203"/>
      <c r="Q43" s="2203"/>
      <c r="R43" s="2206"/>
      <c r="S43" s="2203"/>
      <c r="T43" s="1362"/>
      <c r="U43" s="1362"/>
      <c r="V43" s="1362"/>
      <c r="W43" s="1363"/>
      <c r="X43" s="1324"/>
      <c r="Y43" s="1324"/>
      <c r="Z43" s="1324"/>
      <c r="AA43" s="1324"/>
      <c r="AB43" s="1324"/>
      <c r="AC43" s="1324"/>
      <c r="AD43" s="1324"/>
      <c r="AE43" s="1324"/>
      <c r="AF43" s="1324"/>
      <c r="AG43" s="1324"/>
      <c r="AH43" s="1324"/>
      <c r="AI43" s="1324"/>
      <c r="AJ43" s="1324"/>
      <c r="AK43" s="1324"/>
      <c r="AL43" s="1324"/>
      <c r="AM43" s="1324"/>
      <c r="AN43" s="1324"/>
      <c r="AO43" s="1324"/>
      <c r="AP43" s="1324"/>
      <c r="AQ43" s="1324"/>
      <c r="AR43" s="1348">
        <v>0</v>
      </c>
    </row>
    <row s="5485" customFormat="1" customHeight="1" ht="17.25">
      <c r="A44" s="386"/>
      <c r="C44" s="385"/>
      <c r="D44" s="2201"/>
      <c r="E44" s="2209"/>
      <c r="F44" s="2211"/>
      <c r="G44" s="2209"/>
      <c r="H44" s="2214"/>
      <c r="I44" s="2216"/>
      <c r="J44" s="2219"/>
      <c r="K44" s="2203"/>
      <c r="L44" s="2203"/>
      <c r="M44" s="2203"/>
      <c r="N44" s="2206"/>
      <c r="O44" s="2203"/>
      <c r="P44" s="1483"/>
      <c r="Q44" s="1362"/>
      <c r="R44" s="1362"/>
      <c r="S44" s="394"/>
      <c r="T44" s="394"/>
      <c r="U44" s="394"/>
      <c r="V44" s="394"/>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485" customFormat="1" customHeight="1" ht="17.25">
      <c r="A45" s="386"/>
      <c r="C45" s="385"/>
      <c r="D45" s="2201"/>
      <c r="E45" s="2209"/>
      <c r="F45" s="2211"/>
      <c r="G45" s="2209"/>
      <c r="H45" s="2214"/>
      <c r="I45" s="2216"/>
      <c r="J45" s="2219"/>
      <c r="K45" s="2203"/>
      <c r="L45" s="1362"/>
      <c r="M45" s="1362"/>
      <c r="N45" s="1362"/>
      <c r="O45" s="1362"/>
      <c r="P45" s="1362"/>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485" customFormat="1" customHeight="1" ht="17.25">
      <c r="A46" s="386"/>
      <c r="C46" s="385"/>
      <c r="D46" s="2201"/>
      <c r="E46" s="2209"/>
      <c r="F46" s="2212"/>
      <c r="G46" s="2209"/>
      <c r="H46" s="1364"/>
      <c r="I46" s="1365"/>
      <c r="J46" s="1365"/>
      <c r="K46" s="1365"/>
      <c r="L46" s="1365"/>
      <c r="M46" s="1365"/>
      <c r="N46" s="1365"/>
      <c r="O46" s="1365"/>
      <c r="P46" s="1365"/>
      <c r="Q46" s="1365"/>
      <c r="R46" s="1365"/>
      <c r="S46" s="1366"/>
      <c r="T46" s="1366"/>
      <c r="U46" s="1366"/>
      <c r="V46" s="1366"/>
      <c r="W46" s="1367"/>
      <c r="X46" s="1324"/>
      <c r="Y46" s="1324"/>
      <c r="Z46" s="1324"/>
      <c r="AA46" s="1324"/>
      <c r="AB46" s="1324"/>
      <c r="AC46" s="1324"/>
      <c r="AD46" s="1324"/>
      <c r="AE46" s="1324"/>
      <c r="AF46" s="1324"/>
      <c r="AG46" s="1324"/>
      <c r="AH46" s="1324"/>
      <c r="AI46" s="1324"/>
      <c r="AJ46" s="1324"/>
      <c r="AK46" s="1324"/>
      <c r="AL46" s="1324"/>
      <c r="AM46" s="1324"/>
      <c r="AN46" s="1324"/>
      <c r="AO46" s="1324"/>
      <c r="AP46" s="1324"/>
      <c r="AQ46" s="1324"/>
      <c r="AR46" s="1348">
        <v>0</v>
      </c>
    </row>
    <row s="5485" customFormat="1" customHeight="1" ht="17.25">
      <c r="A47" s="386"/>
      <c r="C47" s="274"/>
      <c r="D47" s="2200">
        <v>6</v>
      </c>
      <c r="E47" s="2208" t="s">
        <v>205</v>
      </c>
      <c r="F47" s="2210" t="s">
        <v>19</v>
      </c>
      <c r="G47" s="2208"/>
      <c r="H47" s="2213"/>
      <c r="I47" s="2215"/>
      <c r="J47" s="2217"/>
      <c r="K47" s="2202"/>
      <c r="L47" s="2202"/>
      <c r="M47" s="2202"/>
      <c r="N47" s="2204"/>
      <c r="O47" s="2202"/>
      <c r="P47" s="2202"/>
      <c r="Q47" s="2202"/>
      <c r="R47" s="2207"/>
      <c r="S47" s="2202"/>
      <c r="T47" s="1485"/>
      <c r="U47" s="1485"/>
      <c r="V47" s="1484"/>
      <c r="W47" s="1361"/>
      <c r="X47" s="1332"/>
      <c r="Y47" s="1332"/>
      <c r="Z47" s="1332"/>
      <c r="AA47" s="1332"/>
      <c r="AB47" s="1332"/>
      <c r="AC47" s="1332" t="s">
        <v>206</v>
      </c>
      <c r="AD47" s="1332" t="s">
        <v>207</v>
      </c>
      <c r="AE47" s="1332" t="s">
        <v>208</v>
      </c>
      <c r="AF47" s="1332" t="s">
        <v>209</v>
      </c>
      <c r="AG47" s="1332" t="s">
        <v>210</v>
      </c>
      <c r="AH47" s="1332" t="str">
        <f>IF($E$47=0,"",$E$47)</f>
        <v>Тарифы на услуги по передаче теплоносителя</v>
      </c>
      <c r="AI47" s="1332" t="str">
        <f>IF($G$47=0,"",$G$47)</f>
        <v/>
      </c>
      <c r="AJ47" s="1332" t="str">
        <f>IF($J$47=0,"",$J$47)</f>
        <v/>
      </c>
      <c r="AK47" s="1332" t="str">
        <f>IF($K$47="нет","без дифференциации",IF($N$47=0,"",$N$47))</f>
        <v/>
      </c>
      <c r="AL47" s="1332" t="str">
        <f>IF($O$47="нет","без дифференциации",IF($R$47=0,"",$R$47))</f>
        <v/>
      </c>
      <c r="AM47" s="1332" t="str">
        <f>IF($S$47="нет","без дифференциации",IF($V$47=0,"",$V$47))</f>
        <v/>
      </c>
      <c r="AN47" s="1837">
        <f>$I$47</f>
        <v>0</v>
      </c>
      <c r="AO47" s="1332" t="str">
        <f>$I$47&amp;"."&amp;$M$47</f>
        <v>.</v>
      </c>
      <c r="AP47" s="1324" t="str">
        <f>$I$47&amp;"."&amp;$M$47&amp;"."&amp;$Q$47</f>
        <v>..</v>
      </c>
      <c r="AQ47" s="1324" t="str">
        <f>$I$47&amp;"."&amp;$M$47&amp;"."&amp;$Q$47&amp;"."&amp;$U$47</f>
        <v>...</v>
      </c>
      <c r="AR47" s="1348">
        <v>0</v>
      </c>
    </row>
    <row s="5485" customFormat="1" customHeight="1" ht="17.25">
      <c r="A48" s="386"/>
      <c r="C48" s="385"/>
      <c r="D48" s="2200"/>
      <c r="E48" s="2208"/>
      <c r="F48" s="2211"/>
      <c r="G48" s="2208"/>
      <c r="H48" s="2214"/>
      <c r="I48" s="2216"/>
      <c r="J48" s="2218"/>
      <c r="K48" s="2203"/>
      <c r="L48" s="2203"/>
      <c r="M48" s="2203"/>
      <c r="N48" s="2205"/>
      <c r="O48" s="2203"/>
      <c r="P48" s="2203"/>
      <c r="Q48" s="2203"/>
      <c r="R48" s="2206"/>
      <c r="S48" s="2203"/>
      <c r="T48" s="1362"/>
      <c r="U48" s="1362"/>
      <c r="V48" s="1362"/>
      <c r="W48" s="1363"/>
      <c r="X48" s="1324"/>
      <c r="Y48" s="1324"/>
      <c r="Z48" s="1324"/>
      <c r="AA48" s="1324"/>
      <c r="AB48" s="1324"/>
      <c r="AC48" s="1324"/>
      <c r="AD48" s="1324"/>
      <c r="AE48" s="1324"/>
      <c r="AF48" s="1324"/>
      <c r="AG48" s="1324"/>
      <c r="AH48" s="1324"/>
      <c r="AI48" s="1324"/>
      <c r="AJ48" s="1324"/>
      <c r="AK48" s="1324"/>
      <c r="AL48" s="1324"/>
      <c r="AM48" s="1324"/>
      <c r="AN48" s="1324"/>
      <c r="AO48" s="1324"/>
      <c r="AP48" s="1324"/>
      <c r="AQ48" s="1324"/>
      <c r="AR48" s="1348">
        <v>0</v>
      </c>
    </row>
    <row s="5485" customFormat="1" customHeight="1" ht="17.25">
      <c r="A49" s="386"/>
      <c r="C49" s="385"/>
      <c r="D49" s="2201"/>
      <c r="E49" s="2209"/>
      <c r="F49" s="2211"/>
      <c r="G49" s="2209"/>
      <c r="H49" s="2214"/>
      <c r="I49" s="2216"/>
      <c r="J49" s="2219"/>
      <c r="K49" s="2203"/>
      <c r="L49" s="2203"/>
      <c r="M49" s="2203"/>
      <c r="N49" s="2206"/>
      <c r="O49" s="2203"/>
      <c r="P49" s="1483"/>
      <c r="Q49" s="1362"/>
      <c r="R49" s="1362"/>
      <c r="S49" s="394"/>
      <c r="T49" s="394"/>
      <c r="U49" s="394"/>
      <c r="V49" s="394"/>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48">
        <v>0</v>
      </c>
    </row>
    <row s="5485" customFormat="1" customHeight="1" ht="17.25">
      <c r="A50" s="386"/>
      <c r="C50" s="274"/>
      <c r="D50" s="2201"/>
      <c r="E50" s="2209"/>
      <c r="F50" s="2211"/>
      <c r="G50" s="2209"/>
      <c r="H50" s="2214"/>
      <c r="I50" s="2216"/>
      <c r="J50" s="2219"/>
      <c r="K50" s="2203"/>
      <c r="L50" s="1362"/>
      <c r="M50" s="1362"/>
      <c r="N50" s="1362"/>
      <c r="O50" s="1362"/>
      <c r="P50" s="1362"/>
      <c r="Q50" s="1362"/>
      <c r="R50" s="1362"/>
      <c r="S50" s="394"/>
      <c r="T50" s="394"/>
      <c r="U50" s="394"/>
      <c r="V50" s="394"/>
      <c r="W50" s="1363"/>
      <c r="Y50" s="1332"/>
      <c r="Z50" s="1332"/>
      <c r="AA50" s="1332"/>
      <c r="AB50" s="1332"/>
      <c r="AC50" s="1332"/>
      <c r="AD50" s="1332"/>
      <c r="AE50" s="1332"/>
      <c r="AF50" s="1332"/>
      <c r="AG50" s="1332"/>
      <c r="AH50" s="1332"/>
      <c r="AI50" s="1332"/>
      <c r="AJ50" s="1332"/>
      <c r="AK50" s="1332"/>
      <c r="AL50" s="1332"/>
      <c r="AM50" s="1332"/>
      <c r="AN50" s="1332"/>
      <c r="AO50" s="1332"/>
      <c r="AP50" s="1332"/>
      <c r="AQ50" s="1332"/>
      <c r="AR50" s="1391">
        <v>0</v>
      </c>
    </row>
    <row s="5485" customFormat="1" customHeight="1" ht="17.25">
      <c r="A51" s="386"/>
      <c r="C51" s="385"/>
      <c r="D51" s="2201"/>
      <c r="E51" s="2209"/>
      <c r="F51" s="2212"/>
      <c r="G51" s="2209"/>
      <c r="H51" s="1364"/>
      <c r="I51" s="1365"/>
      <c r="J51" s="1365"/>
      <c r="K51" s="1365"/>
      <c r="L51" s="1365"/>
      <c r="M51" s="1365"/>
      <c r="N51" s="1365"/>
      <c r="O51" s="1365"/>
      <c r="P51" s="1365"/>
      <c r="Q51" s="1365"/>
      <c r="R51" s="1365"/>
      <c r="S51" s="1366"/>
      <c r="T51" s="1366"/>
      <c r="U51" s="1366"/>
      <c r="V51" s="1366"/>
      <c r="W51" s="1367"/>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48">
        <v>0</v>
      </c>
    </row>
    <row s="5485" customFormat="1" customHeight="1" ht="17.25">
      <c r="A52" s="386"/>
      <c r="C52" s="274"/>
      <c r="D52" s="2231">
        <v>7</v>
      </c>
      <c r="E52" s="2234" t="s">
        <v>211</v>
      </c>
      <c r="F52" s="2210" t="s">
        <v>19</v>
      </c>
      <c r="G52" s="2234"/>
      <c r="H52" s="2213"/>
      <c r="I52" s="2215"/>
      <c r="J52" s="2217"/>
      <c r="K52" s="2202"/>
      <c r="L52" s="2202"/>
      <c r="M52" s="2202"/>
      <c r="N52" s="2204"/>
      <c r="O52" s="2202"/>
      <c r="P52" s="2202"/>
      <c r="Q52" s="2202"/>
      <c r="R52" s="2207"/>
      <c r="S52" s="2202"/>
      <c r="T52" s="1485"/>
      <c r="U52" s="1485"/>
      <c r="V52" s="1484"/>
      <c r="W52" s="1361"/>
      <c r="X52" s="1332"/>
      <c r="Y52" s="1332"/>
      <c r="Z52" s="1332"/>
      <c r="AA52" s="1332"/>
      <c r="AB52" s="1332"/>
      <c r="AC52" s="1332" t="s">
        <v>212</v>
      </c>
      <c r="AD52" s="1332" t="s">
        <v>213</v>
      </c>
      <c r="AE52" s="1332" t="s">
        <v>214</v>
      </c>
      <c r="AF52" s="1332" t="s">
        <v>215</v>
      </c>
      <c r="AG52" s="1332" t="s">
        <v>216</v>
      </c>
      <c r="AH52" s="1332" t="str">
        <f>IF($E$52=0,"",$E$52)</f>
        <v>Плата за услуги по поддержанию резервной тепловой мощности при отсутствии потребления тепловой энергии</v>
      </c>
      <c r="AI52" s="1332" t="str">
        <f>IF($G$52=0,"",$G$52)</f>
        <v/>
      </c>
      <c r="AJ52" s="1332" t="str">
        <f>IF($J$52=0,"",$J$52)</f>
        <v/>
      </c>
      <c r="AK52" s="1332" t="str">
        <f>IF($K$52="нет","без дифференциации",IF($N$52=0,"",$N$52))</f>
        <v/>
      </c>
      <c r="AL52" s="1332" t="str">
        <f>IF($O$52="нет","без дифференциации",IF($R$52=0,"",$R$52))</f>
        <v/>
      </c>
      <c r="AM52" s="1332" t="str">
        <f>IF($S$52="нет","без дифференциации",IF($V$52=0,"",$V$52))</f>
        <v/>
      </c>
      <c r="AN52" s="1837">
        <f>$I$52</f>
        <v>0</v>
      </c>
      <c r="AO52" s="1332" t="str">
        <f>$I$52&amp;"."&amp;$M$52</f>
        <v>.</v>
      </c>
      <c r="AP52" s="1324" t="str">
        <f>$I$52&amp;"."&amp;$M$52&amp;"."&amp;$Q$52</f>
        <v>..</v>
      </c>
      <c r="AQ52" s="1324" t="str">
        <f>$I$52&amp;"."&amp;$M$52&amp;"."&amp;$Q$52&amp;"."&amp;$U$52</f>
        <v>...</v>
      </c>
      <c r="AR52" s="1373">
        <v>0</v>
      </c>
    </row>
    <row s="5485" customFormat="1" customHeight="1" ht="17.25">
      <c r="A53" s="386"/>
      <c r="C53" s="385"/>
      <c r="D53" s="2232"/>
      <c r="E53" s="2235"/>
      <c r="F53" s="2211"/>
      <c r="G53" s="2235"/>
      <c r="H53" s="2214"/>
      <c r="I53" s="2216"/>
      <c r="J53" s="2218"/>
      <c r="K53" s="2203"/>
      <c r="L53" s="2203"/>
      <c r="M53" s="2203"/>
      <c r="N53" s="2205"/>
      <c r="O53" s="2203"/>
      <c r="P53" s="2203"/>
      <c r="Q53" s="2203"/>
      <c r="R53" s="2206"/>
      <c r="S53" s="2203"/>
      <c r="T53" s="1362"/>
      <c r="U53" s="1362"/>
      <c r="V53" s="1362"/>
      <c r="W53" s="1363"/>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73">
        <v>0</v>
      </c>
    </row>
    <row s="5485" customFormat="1" customHeight="1" ht="17.25">
      <c r="A54" s="386"/>
      <c r="C54" s="385"/>
      <c r="D54" s="2232"/>
      <c r="E54" s="2235"/>
      <c r="F54" s="2211"/>
      <c r="G54" s="2235"/>
      <c r="H54" s="2214"/>
      <c r="I54" s="2216"/>
      <c r="J54" s="2219"/>
      <c r="K54" s="2203"/>
      <c r="L54" s="2203"/>
      <c r="M54" s="2203"/>
      <c r="N54" s="2206"/>
      <c r="O54" s="2203"/>
      <c r="P54" s="1483"/>
      <c r="Q54" s="1362"/>
      <c r="R54" s="1362"/>
      <c r="S54" s="394"/>
      <c r="T54" s="394"/>
      <c r="U54" s="394"/>
      <c r="V54" s="394"/>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485" customFormat="1" customHeight="1" ht="17.25">
      <c r="A55" s="386"/>
      <c r="C55" s="274"/>
      <c r="D55" s="2232"/>
      <c r="E55" s="2235"/>
      <c r="F55" s="2211"/>
      <c r="G55" s="2235"/>
      <c r="H55" s="2214"/>
      <c r="I55" s="2216"/>
      <c r="J55" s="2219"/>
      <c r="K55" s="2203"/>
      <c r="L55" s="1362"/>
      <c r="M55" s="1362"/>
      <c r="N55" s="1362"/>
      <c r="O55" s="1362"/>
      <c r="P55" s="1362"/>
      <c r="Q55" s="1362"/>
      <c r="R55" s="1362"/>
      <c r="S55" s="394"/>
      <c r="T55" s="394"/>
      <c r="U55" s="394"/>
      <c r="V55" s="394"/>
      <c r="W55" s="1363"/>
      <c r="Y55" s="1332"/>
      <c r="Z55" s="1332"/>
      <c r="AA55" s="1332"/>
      <c r="AB55" s="1332"/>
      <c r="AC55" s="1332"/>
      <c r="AD55" s="1332"/>
      <c r="AE55" s="1332"/>
      <c r="AF55" s="1332"/>
      <c r="AG55" s="1332"/>
      <c r="AH55" s="1332"/>
      <c r="AI55" s="1332"/>
      <c r="AJ55" s="1332"/>
      <c r="AK55" s="1332"/>
      <c r="AL55" s="1332"/>
      <c r="AM55" s="1332"/>
      <c r="AN55" s="1332"/>
      <c r="AO55" s="1332"/>
      <c r="AP55" s="1332"/>
      <c r="AQ55" s="1332"/>
      <c r="AR55" s="1391">
        <v>0</v>
      </c>
    </row>
    <row s="5485" customFormat="1" customHeight="1" ht="17.25">
      <c r="A56" s="386"/>
      <c r="C56" s="385"/>
      <c r="D56" s="2233"/>
      <c r="E56" s="2236"/>
      <c r="F56" s="2212"/>
      <c r="G56" s="2236"/>
      <c r="H56" s="1364"/>
      <c r="I56" s="1365"/>
      <c r="J56" s="1365"/>
      <c r="K56" s="1365"/>
      <c r="L56" s="1365"/>
      <c r="M56" s="1365"/>
      <c r="N56" s="1365"/>
      <c r="O56" s="1365"/>
      <c r="P56" s="1365"/>
      <c r="Q56" s="1365"/>
      <c r="R56" s="1365"/>
      <c r="S56" s="1366"/>
      <c r="T56" s="1366"/>
      <c r="U56" s="1366"/>
      <c r="V56" s="1366"/>
      <c r="W56" s="1367"/>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73">
        <v>0</v>
      </c>
    </row>
    <row s="5485" customFormat="1" customHeight="1" ht="17.25">
      <c r="A57" s="386"/>
      <c r="C57" s="274"/>
      <c r="D57" s="2200">
        <v>8</v>
      </c>
      <c r="E57" s="2208" t="s">
        <v>217</v>
      </c>
      <c r="F57" s="2210" t="s">
        <v>19</v>
      </c>
      <c r="G57" s="2208"/>
      <c r="H57" s="2213"/>
      <c r="I57" s="2215"/>
      <c r="J57" s="2217"/>
      <c r="K57" s="2202"/>
      <c r="L57" s="2202"/>
      <c r="M57" s="2202"/>
      <c r="N57" s="2204"/>
      <c r="O57" s="2202"/>
      <c r="P57" s="2202"/>
      <c r="Q57" s="2202"/>
      <c r="R57" s="2207"/>
      <c r="S57" s="2202"/>
      <c r="T57" s="1535"/>
      <c r="U57" s="1535"/>
      <c r="V57" s="1537"/>
      <c r="W57" s="1361"/>
      <c r="X57" s="1332"/>
      <c r="Y57" s="1332"/>
      <c r="Z57" s="1332"/>
      <c r="AA57" s="1332"/>
      <c r="AB57" s="1332"/>
      <c r="AC57" s="1332" t="s">
        <v>218</v>
      </c>
      <c r="AD57" s="1332" t="s">
        <v>219</v>
      </c>
      <c r="AE57" s="1332" t="s">
        <v>220</v>
      </c>
      <c r="AF57" s="1332" t="s">
        <v>221</v>
      </c>
      <c r="AG57" s="1332" t="s">
        <v>222</v>
      </c>
      <c r="AH57" s="1332" t="str">
        <f>IF($E$57=0,"",$E$57)</f>
        <v>Плата за подключение (технологическое присоединение) к системе теплоснабжения</v>
      </c>
      <c r="AI57" s="1332" t="str">
        <f>IF($G$57=0,"",$G$57)</f>
        <v/>
      </c>
      <c r="AJ57" s="1332" t="str">
        <f>IF($J$57=0,"",$J$57)</f>
        <v/>
      </c>
      <c r="AK57" s="1332" t="str">
        <f>IF($K$57="нет","без дифференциации",IF($N$57=0,"",$N$57))</f>
        <v/>
      </c>
      <c r="AL57" s="1332" t="str">
        <f>IF($O$57="нет","без дифференциации",IF($R$57=0,"",$R$57))</f>
        <v/>
      </c>
      <c r="AM57" s="1332" t="str">
        <f>IF($S$57="нет","без дифференциации",IF($V$57=0,"",$V$57))</f>
        <v/>
      </c>
      <c r="AN57" s="1837">
        <f>$I$57</f>
        <v>0</v>
      </c>
      <c r="AO57" s="1332" t="str">
        <f>$I$57&amp;"."&amp;$M$57</f>
        <v>.</v>
      </c>
      <c r="AP57" s="1324" t="str">
        <f>$I$57&amp;"."&amp;$M$57&amp;"."&amp;$Q$57</f>
        <v>..</v>
      </c>
      <c r="AQ57" s="1324" t="str">
        <f>$I$57&amp;"."&amp;$M$57&amp;"."&amp;$Q$57&amp;"."&amp;$U$57</f>
        <v>...</v>
      </c>
      <c r="AR57" s="1373">
        <v>0</v>
      </c>
    </row>
    <row s="5485" customFormat="1" customHeight="1" ht="17.25">
      <c r="A58" s="386"/>
      <c r="C58" s="385"/>
      <c r="D58" s="2200"/>
      <c r="E58" s="2208"/>
      <c r="F58" s="2211"/>
      <c r="G58" s="2208"/>
      <c r="H58" s="2214"/>
      <c r="I58" s="2216"/>
      <c r="J58" s="2218"/>
      <c r="K58" s="2203"/>
      <c r="L58" s="2203"/>
      <c r="M58" s="2203"/>
      <c r="N58" s="2205"/>
      <c r="O58" s="2203"/>
      <c r="P58" s="2203"/>
      <c r="Q58" s="2203"/>
      <c r="R58" s="2206"/>
      <c r="S58" s="2203"/>
      <c r="T58" s="1362"/>
      <c r="U58" s="1362"/>
      <c r="V58" s="1362"/>
      <c r="W58" s="1363"/>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73">
        <v>0</v>
      </c>
    </row>
    <row s="5485" customFormat="1" customHeight="1" ht="17.25">
      <c r="A59" s="386"/>
      <c r="C59" s="385"/>
      <c r="D59" s="2201"/>
      <c r="E59" s="2209"/>
      <c r="F59" s="2211"/>
      <c r="G59" s="2209"/>
      <c r="H59" s="2214"/>
      <c r="I59" s="2216"/>
      <c r="J59" s="2219"/>
      <c r="K59" s="2203"/>
      <c r="L59" s="2203"/>
      <c r="M59" s="2203"/>
      <c r="N59" s="2206"/>
      <c r="O59" s="2203"/>
      <c r="P59" s="1536"/>
      <c r="Q59" s="1362"/>
      <c r="R59" s="1362"/>
      <c r="S59" s="394"/>
      <c r="T59" s="394"/>
      <c r="U59" s="394"/>
      <c r="V59" s="394"/>
      <c r="W59" s="1363"/>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73">
        <v>0</v>
      </c>
    </row>
    <row s="5485" customFormat="1" customHeight="1" ht="17.25">
      <c r="A60" s="386"/>
      <c r="C60" s="274"/>
      <c r="D60" s="2201"/>
      <c r="E60" s="2209"/>
      <c r="F60" s="2211"/>
      <c r="G60" s="2209"/>
      <c r="H60" s="2214"/>
      <c r="I60" s="2216"/>
      <c r="J60" s="2219"/>
      <c r="K60" s="2203"/>
      <c r="L60" s="1362"/>
      <c r="M60" s="1362"/>
      <c r="N60" s="1362"/>
      <c r="O60" s="1362"/>
      <c r="P60" s="1362"/>
      <c r="Q60" s="1362"/>
      <c r="R60" s="1362"/>
      <c r="S60" s="394"/>
      <c r="T60" s="394"/>
      <c r="U60" s="394"/>
      <c r="V60" s="394"/>
      <c r="W60" s="1363"/>
      <c r="Y60" s="1332"/>
      <c r="Z60" s="1332"/>
      <c r="AA60" s="1332"/>
      <c r="AB60" s="1332"/>
      <c r="AC60" s="1332"/>
      <c r="AD60" s="1332"/>
      <c r="AE60" s="1332"/>
      <c r="AF60" s="1332"/>
      <c r="AG60" s="1332"/>
      <c r="AH60" s="1332"/>
      <c r="AI60" s="1332"/>
      <c r="AJ60" s="1332"/>
      <c r="AK60" s="1332"/>
      <c r="AL60" s="1332"/>
      <c r="AM60" s="1332"/>
      <c r="AN60" s="1332"/>
      <c r="AO60" s="1332"/>
      <c r="AP60" s="1332"/>
      <c r="AQ60" s="1332"/>
      <c r="AR60" s="1391">
        <v>0</v>
      </c>
    </row>
    <row s="5485" customFormat="1" customHeight="1" ht="17.25">
      <c r="A61" s="386"/>
      <c r="C61" s="385"/>
      <c r="D61" s="2201"/>
      <c r="E61" s="2209"/>
      <c r="F61" s="2212"/>
      <c r="G61" s="2209"/>
      <c r="H61" s="1364"/>
      <c r="I61" s="1365"/>
      <c r="J61" s="1365"/>
      <c r="K61" s="1365"/>
      <c r="L61" s="1365"/>
      <c r="M61" s="1365"/>
      <c r="N61" s="1365"/>
      <c r="O61" s="1365"/>
      <c r="P61" s="1365"/>
      <c r="Q61" s="1365"/>
      <c r="R61" s="1365"/>
      <c r="S61" s="1366"/>
      <c r="T61" s="1366"/>
      <c r="U61" s="1366"/>
      <c r="V61" s="1366"/>
      <c r="W61" s="1367"/>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73">
        <v>0</v>
      </c>
    </row>
    <row s="5485" customFormat="1" customHeight="1" ht="17.25">
      <c r="A62" s="386"/>
      <c r="C62" s="274"/>
      <c r="D62" s="2200">
        <v>9</v>
      </c>
      <c r="E62" s="2208" t="s">
        <v>223</v>
      </c>
      <c r="F62" s="2210" t="s">
        <v>19</v>
      </c>
      <c r="G62" s="2208"/>
      <c r="H62" s="2213"/>
      <c r="I62" s="2215"/>
      <c r="J62" s="2217"/>
      <c r="K62" s="2202"/>
      <c r="L62" s="2202"/>
      <c r="M62" s="2202"/>
      <c r="N62" s="2204"/>
      <c r="O62" s="2202"/>
      <c r="P62" s="2202"/>
      <c r="Q62" s="2202"/>
      <c r="R62" s="2207"/>
      <c r="S62" s="2202"/>
      <c r="T62" s="1996"/>
      <c r="U62" s="1996"/>
      <c r="V62" s="1998"/>
      <c r="W62" s="1361"/>
      <c r="X62" s="1332"/>
      <c r="Y62" s="1332"/>
      <c r="Z62" s="1332"/>
      <c r="AA62" s="1332"/>
      <c r="AB62" s="1332"/>
      <c r="AC62" s="1332" t="s">
        <v>224</v>
      </c>
      <c r="AD62" s="1332" t="s">
        <v>225</v>
      </c>
      <c r="AE62" s="1332" t="s">
        <v>226</v>
      </c>
      <c r="AF62" s="1332" t="s">
        <v>227</v>
      </c>
      <c r="AG62" s="1332" t="s">
        <v>228</v>
      </c>
      <c r="AH62" s="1332" t="str">
        <f>IF($E$62=0,"",$E$62)</f>
        <v>Плата за подключение (технологическое присоединение) к системе теплоснабжения (индивидуальная)</v>
      </c>
      <c r="AI62" s="1332" t="str">
        <f>IF($G$62=0,"",$G$62)</f>
        <v/>
      </c>
      <c r="AJ62" s="1332" t="str">
        <f>IF($J$62=0,"",$J$62)</f>
        <v/>
      </c>
      <c r="AK62" s="1332" t="str">
        <f>IF($K$62="нет","без дифференциации",IF($N$62=0,"",$N$62))</f>
        <v/>
      </c>
      <c r="AL62" s="1332" t="str">
        <f>IF($O$62="нет","без дифференциации",IF($R$62=0,"",$R$62))</f>
        <v/>
      </c>
      <c r="AM62" s="1332" t="str">
        <f>IF($S$62="нет","без дифференциации",IF($V$62=0,"",$V$62))</f>
        <v/>
      </c>
      <c r="AN62" s="1837">
        <f>$I$62</f>
        <v>0</v>
      </c>
      <c r="AO62" s="1332" t="str">
        <f>$I$62&amp;"."&amp;$M$62</f>
        <v>.</v>
      </c>
      <c r="AP62" s="1331" t="str">
        <f>$I$62&amp;"."&amp;$M$62&amp;"."&amp;$Q$62</f>
        <v>..</v>
      </c>
      <c r="AQ62" s="1331" t="str">
        <f>$I$62&amp;"."&amp;$M$62&amp;"."&amp;$Q$62&amp;"."&amp;$U$62</f>
        <v>...</v>
      </c>
      <c r="AR62" s="1532">
        <v>0</v>
      </c>
    </row>
    <row s="5485" customFormat="1" customHeight="1" ht="17.25">
      <c r="A63" s="386"/>
      <c r="C63" s="385"/>
      <c r="D63" s="2200"/>
      <c r="E63" s="2208"/>
      <c r="F63" s="2211"/>
      <c r="G63" s="2208"/>
      <c r="H63" s="2214"/>
      <c r="I63" s="2216"/>
      <c r="J63" s="2218"/>
      <c r="K63" s="2203"/>
      <c r="L63" s="2203"/>
      <c r="M63" s="2203"/>
      <c r="N63" s="2205"/>
      <c r="O63" s="2203"/>
      <c r="P63" s="2203"/>
      <c r="Q63" s="2203"/>
      <c r="R63" s="2206"/>
      <c r="S63" s="2203"/>
      <c r="T63" s="1999"/>
      <c r="U63" s="1999"/>
      <c r="V63" s="1999"/>
      <c r="W63" s="2000"/>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532">
        <v>0</v>
      </c>
    </row>
    <row s="5485" customFormat="1" customHeight="1" ht="17.25">
      <c r="A64" s="386"/>
      <c r="C64" s="385"/>
      <c r="D64" s="2201"/>
      <c r="E64" s="2209"/>
      <c r="F64" s="2211"/>
      <c r="G64" s="2209"/>
      <c r="H64" s="2214"/>
      <c r="I64" s="2216"/>
      <c r="J64" s="2219"/>
      <c r="K64" s="2203"/>
      <c r="L64" s="2203"/>
      <c r="M64" s="2203"/>
      <c r="N64" s="2206"/>
      <c r="O64" s="2203"/>
      <c r="P64" s="1997"/>
      <c r="Q64" s="1999"/>
      <c r="R64" s="1999"/>
      <c r="S64" s="394"/>
      <c r="T64" s="394"/>
      <c r="U64" s="394"/>
      <c r="V64" s="394"/>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485" customFormat="1" customHeight="1" ht="17.25">
      <c r="A65" s="386"/>
      <c r="C65" s="274"/>
      <c r="D65" s="2201"/>
      <c r="E65" s="2209"/>
      <c r="F65" s="2211"/>
      <c r="G65" s="2209"/>
      <c r="H65" s="2214"/>
      <c r="I65" s="2216"/>
      <c r="J65" s="2219"/>
      <c r="K65" s="2203"/>
      <c r="L65" s="1999"/>
      <c r="M65" s="1999"/>
      <c r="N65" s="1999"/>
      <c r="O65" s="1999"/>
      <c r="P65" s="1999"/>
      <c r="Q65" s="1999"/>
      <c r="R65" s="1999"/>
      <c r="S65" s="394"/>
      <c r="T65" s="394"/>
      <c r="U65" s="394"/>
      <c r="V65" s="394"/>
      <c r="W65" s="2000"/>
      <c r="Y65" s="1332"/>
      <c r="Z65" s="1332"/>
      <c r="AA65" s="1332"/>
      <c r="AB65" s="1332"/>
      <c r="AC65" s="1332"/>
      <c r="AD65" s="1332"/>
      <c r="AE65" s="1332"/>
      <c r="AF65" s="1332"/>
      <c r="AG65" s="1332"/>
      <c r="AH65" s="1332"/>
      <c r="AI65" s="1332"/>
      <c r="AJ65" s="1332"/>
      <c r="AK65" s="1332"/>
      <c r="AL65" s="1332"/>
      <c r="AM65" s="1332"/>
      <c r="AN65" s="1332"/>
      <c r="AO65" s="1332"/>
      <c r="AP65" s="1332"/>
      <c r="AQ65" s="1332"/>
      <c r="AR65" s="1532">
        <v>0</v>
      </c>
    </row>
    <row s="5485" customFormat="1" customHeight="1" ht="17.25">
      <c r="A66" s="386"/>
      <c r="C66" s="385"/>
      <c r="D66" s="2201"/>
      <c r="E66" s="2209"/>
      <c r="F66" s="2212"/>
      <c r="G66" s="2209"/>
      <c r="H66" s="1364"/>
      <c r="I66" s="2001"/>
      <c r="J66" s="2001"/>
      <c r="K66" s="2001"/>
      <c r="L66" s="2001"/>
      <c r="M66" s="2001"/>
      <c r="N66" s="2001"/>
      <c r="O66" s="2001"/>
      <c r="P66" s="2001"/>
      <c r="Q66" s="2001"/>
      <c r="R66" s="2001"/>
      <c r="S66" s="1366"/>
      <c r="T66" s="1366"/>
      <c r="U66" s="1366"/>
      <c r="V66" s="1366"/>
      <c r="W66" s="2002"/>
      <c r="X66" s="1331"/>
      <c r="Y66" s="1331"/>
      <c r="Z66" s="1331"/>
      <c r="AA66" s="1331"/>
      <c r="AB66" s="1331"/>
      <c r="AC66" s="1331"/>
      <c r="AD66" s="1331"/>
      <c r="AE66" s="1331"/>
      <c r="AF66" s="1331"/>
      <c r="AG66" s="1331"/>
      <c r="AH66" s="1331"/>
      <c r="AI66" s="1331"/>
      <c r="AJ66" s="1331"/>
      <c r="AK66" s="1331"/>
      <c r="AL66" s="1331"/>
      <c r="AM66" s="1331"/>
      <c r="AN66" s="1331"/>
      <c r="AO66" s="1331"/>
      <c r="AP66" s="1331"/>
      <c r="AQ66" s="1331"/>
      <c r="AR66" s="1532">
        <v>0</v>
      </c>
    </row>
    <row s="5485" customFormat="1" customHeight="1" ht="17.25" hidden="1">
      <c r="A67" s="386"/>
      <c r="C67" s="274"/>
      <c r="D67" s="2200">
        <v>10</v>
      </c>
      <c r="E67" s="2208" t="s">
        <v>229</v>
      </c>
      <c r="F67" s="2210" t="s">
        <v>19</v>
      </c>
      <c r="G67" s="2208"/>
      <c r="H67" s="2213"/>
      <c r="I67" s="2215"/>
      <c r="J67" s="2217"/>
      <c r="K67" s="2202"/>
      <c r="L67" s="2202"/>
      <c r="M67" s="2202"/>
      <c r="N67" s="2204"/>
      <c r="O67" s="2202"/>
      <c r="P67" s="2202"/>
      <c r="Q67" s="2202"/>
      <c r="R67" s="2207"/>
      <c r="S67" s="2202"/>
      <c r="T67" s="1996"/>
      <c r="U67" s="1996"/>
      <c r="V67" s="1998"/>
      <c r="W67" s="1361"/>
      <c r="X67" s="1332"/>
      <c r="Y67" s="1332"/>
      <c r="Z67" s="1332"/>
      <c r="AA67" s="1332"/>
      <c r="AB67" s="1332"/>
      <c r="AC67" s="1332" t="s">
        <v>230</v>
      </c>
      <c r="AD67" s="1332" t="s">
        <v>231</v>
      </c>
      <c r="AE67" s="1332" t="s">
        <v>232</v>
      </c>
      <c r="AF67" s="1332" t="s">
        <v>233</v>
      </c>
      <c r="AG67" s="1332" t="s">
        <v>234</v>
      </c>
      <c r="AH67" s="1332" t="str">
        <f>IF($E$67=0,"",$E$67)</f>
        <v>Предельный уровень цены на тепловую энергию (мощность), поставляемую теплоснабжающими организациями потребителям</v>
      </c>
      <c r="AI67" s="1332" t="str">
        <f>IF($G$67=0,"",$G$67)</f>
        <v/>
      </c>
      <c r="AJ67" s="1332" t="str">
        <f>IF($J$67=0,"",$J$67)</f>
        <v/>
      </c>
      <c r="AK67" s="1332" t="str">
        <f>IF($K$67="нет","без дифференциации",IF($N$67=0,"",$N$67))</f>
        <v/>
      </c>
      <c r="AL67" s="1332" t="str">
        <f>IF($O$67="нет","без дифференциации",IF($R$67=0,"",$R$67))</f>
        <v/>
      </c>
      <c r="AM67" s="1332" t="str">
        <f>IF($S$67="нет","без дифференциации",IF($V$67=0,"",$V$67))</f>
        <v/>
      </c>
      <c r="AN67" s="1837">
        <f>$I$67</f>
        <v>0</v>
      </c>
      <c r="AO67" s="1332" t="str">
        <f>$I$67&amp;"."&amp;$M$67</f>
        <v>.</v>
      </c>
      <c r="AP67" s="1331" t="str">
        <f>$I$67&amp;"."&amp;$M$67&amp;"."&amp;$Q$67</f>
        <v>..</v>
      </c>
      <c r="AQ67" s="1331" t="str">
        <f>$I$67&amp;"."&amp;$M$67&amp;"."&amp;$Q$67&amp;"."&amp;$U$67</f>
        <v>...</v>
      </c>
      <c r="AR67" s="1532">
        <v>0</v>
      </c>
    </row>
    <row s="5485" customFormat="1" customHeight="1" ht="17.25" hidden="1">
      <c r="A68" s="386"/>
      <c r="C68" s="385"/>
      <c r="D68" s="2200"/>
      <c r="E68" s="2208"/>
      <c r="F68" s="2211"/>
      <c r="G68" s="2208"/>
      <c r="H68" s="2214"/>
      <c r="I68" s="2216"/>
      <c r="J68" s="2218"/>
      <c r="K68" s="2203"/>
      <c r="L68" s="2203"/>
      <c r="M68" s="2203"/>
      <c r="N68" s="2205"/>
      <c r="O68" s="2203"/>
      <c r="P68" s="2203"/>
      <c r="Q68" s="2203"/>
      <c r="R68" s="2206"/>
      <c r="S68" s="2203"/>
      <c r="T68" s="1999"/>
      <c r="U68" s="1999"/>
      <c r="V68" s="1999"/>
      <c r="W68" s="2000"/>
      <c r="X68" s="1331"/>
      <c r="Y68" s="1331"/>
      <c r="Z68" s="1331"/>
      <c r="AA68" s="1331"/>
      <c r="AB68" s="1331"/>
      <c r="AC68" s="1331"/>
      <c r="AD68" s="1331"/>
      <c r="AE68" s="1331"/>
      <c r="AF68" s="1331"/>
      <c r="AG68" s="1331"/>
      <c r="AH68" s="1331"/>
      <c r="AI68" s="1331"/>
      <c r="AJ68" s="1331"/>
      <c r="AK68" s="1331"/>
      <c r="AL68" s="1331"/>
      <c r="AM68" s="1331"/>
      <c r="AN68" s="1331"/>
      <c r="AO68" s="1331"/>
      <c r="AP68" s="1331"/>
      <c r="AQ68" s="1331"/>
      <c r="AR68" s="1532">
        <v>0</v>
      </c>
    </row>
    <row s="5485" customFormat="1" customHeight="1" ht="17.25" hidden="1">
      <c r="A69" s="386"/>
      <c r="C69" s="385"/>
      <c r="D69" s="2201"/>
      <c r="E69" s="2209"/>
      <c r="F69" s="2211"/>
      <c r="G69" s="2209"/>
      <c r="H69" s="2214"/>
      <c r="I69" s="2216"/>
      <c r="J69" s="2219"/>
      <c r="K69" s="2203"/>
      <c r="L69" s="2203"/>
      <c r="M69" s="2203"/>
      <c r="N69" s="2206"/>
      <c r="O69" s="2203"/>
      <c r="P69" s="1997"/>
      <c r="Q69" s="1999"/>
      <c r="R69" s="1999"/>
      <c r="S69" s="394"/>
      <c r="T69" s="394"/>
      <c r="U69" s="394"/>
      <c r="V69" s="394"/>
      <c r="W69" s="2000"/>
      <c r="X69" s="1331"/>
      <c r="Y69" s="1331"/>
      <c r="Z69" s="1331"/>
      <c r="AA69" s="1331"/>
      <c r="AB69" s="1331"/>
      <c r="AC69" s="1331"/>
      <c r="AD69" s="1331"/>
      <c r="AE69" s="1331"/>
      <c r="AF69" s="1331"/>
      <c r="AG69" s="1331"/>
      <c r="AH69" s="1331"/>
      <c r="AI69" s="1331"/>
      <c r="AJ69" s="1331"/>
      <c r="AK69" s="1331"/>
      <c r="AL69" s="1331"/>
      <c r="AM69" s="1331"/>
      <c r="AN69" s="1331"/>
      <c r="AO69" s="1331"/>
      <c r="AP69" s="1331"/>
      <c r="AQ69" s="1331"/>
      <c r="AR69" s="1532">
        <v>0</v>
      </c>
    </row>
    <row s="5485" customFormat="1" customHeight="1" ht="17.25" hidden="1">
      <c r="A70" s="386"/>
      <c r="C70" s="274"/>
      <c r="D70" s="2201"/>
      <c r="E70" s="2209"/>
      <c r="F70" s="2211"/>
      <c r="G70" s="2209"/>
      <c r="H70" s="2214"/>
      <c r="I70" s="2216"/>
      <c r="J70" s="2219"/>
      <c r="K70" s="2203"/>
      <c r="L70" s="1999"/>
      <c r="M70" s="1999"/>
      <c r="N70" s="1999"/>
      <c r="O70" s="1999"/>
      <c r="P70" s="1999"/>
      <c r="Q70" s="1999"/>
      <c r="R70" s="1999"/>
      <c r="S70" s="394"/>
      <c r="T70" s="394"/>
      <c r="U70" s="394"/>
      <c r="V70" s="394"/>
      <c r="W70" s="2000"/>
      <c r="Y70" s="1332"/>
      <c r="Z70" s="1332"/>
      <c r="AA70" s="1332"/>
      <c r="AB70" s="1332"/>
      <c r="AC70" s="1332"/>
      <c r="AD70" s="1332"/>
      <c r="AE70" s="1332"/>
      <c r="AF70" s="1332"/>
      <c r="AG70" s="1332"/>
      <c r="AH70" s="1332"/>
      <c r="AI70" s="1332"/>
      <c r="AJ70" s="1332"/>
      <c r="AK70" s="1332"/>
      <c r="AL70" s="1332"/>
      <c r="AM70" s="1332"/>
      <c r="AN70" s="1332"/>
      <c r="AO70" s="1332"/>
      <c r="AP70" s="1332"/>
      <c r="AQ70" s="1332"/>
      <c r="AR70" s="1532">
        <v>0</v>
      </c>
    </row>
    <row s="5485" customFormat="1" customHeight="1" ht="17.25" hidden="1">
      <c r="A71" s="386"/>
      <c r="C71" s="385"/>
      <c r="D71" s="2201"/>
      <c r="E71" s="2209"/>
      <c r="F71" s="2212"/>
      <c r="G71" s="2209"/>
      <c r="H71" s="1364"/>
      <c r="I71" s="2001"/>
      <c r="J71" s="2001"/>
      <c r="K71" s="2001"/>
      <c r="L71" s="2001"/>
      <c r="M71" s="2001"/>
      <c r="N71" s="2001"/>
      <c r="O71" s="2001"/>
      <c r="P71" s="2001"/>
      <c r="Q71" s="2001"/>
      <c r="R71" s="2001"/>
      <c r="S71" s="1366"/>
      <c r="T71" s="1366"/>
      <c r="U71" s="1366"/>
      <c r="V71" s="1366"/>
      <c r="W71" s="2002"/>
      <c r="X71" s="1331"/>
      <c r="Y71" s="1331"/>
      <c r="Z71" s="1331"/>
      <c r="AA71" s="1331"/>
      <c r="AB71" s="1331"/>
      <c r="AC71" s="1331"/>
      <c r="AD71" s="1331"/>
      <c r="AE71" s="1331"/>
      <c r="AF71" s="1331"/>
      <c r="AG71" s="1331"/>
      <c r="AH71" s="1331"/>
      <c r="AI71" s="1331"/>
      <c r="AJ71" s="1331"/>
      <c r="AK71" s="1331"/>
      <c r="AL71" s="1331"/>
      <c r="AM71" s="1331"/>
      <c r="AN71" s="1331"/>
      <c r="AO71" s="1331"/>
      <c r="AP71" s="1331"/>
      <c r="AQ71" s="1331"/>
      <c r="AR71" s="1532">
        <v>0</v>
      </c>
    </row>
    <row customHeight="1" ht="11.25">
      <c r="AR72" s="169">
        <v>0</v>
      </c>
    </row>
    <row customHeight="1" ht="11.25">
      <c r="E73" s="2239" t="s">
        <v>235</v>
      </c>
      <c r="F73" s="2239"/>
      <c r="G73" s="2239"/>
      <c r="H73" s="2239"/>
      <c r="I73" s="2239"/>
      <c r="J73" s="2239"/>
      <c r="K73" s="2239"/>
      <c r="L73" s="2239"/>
      <c r="M73" s="2239"/>
      <c r="N73" s="2239"/>
      <c r="O73" s="2239"/>
      <c r="P73" s="2239"/>
      <c r="Q73" s="2239"/>
      <c r="R73" s="2239"/>
      <c r="S73" s="2239"/>
      <c r="T73" s="2239"/>
      <c r="U73" s="2239"/>
      <c r="V73" s="2239"/>
      <c r="W73" s="2239"/>
      <c r="AR73" s="169">
        <v>0</v>
      </c>
    </row>
    <row customHeight="1" ht="36.75">
      <c r="E74" s="2237" t="s">
        <v>236</v>
      </c>
      <c r="F74" s="2237"/>
      <c r="G74" s="2238"/>
      <c r="H74" s="2238"/>
      <c r="I74" s="2238"/>
      <c r="J74" s="2238"/>
      <c r="K74" s="2238"/>
      <c r="L74" s="2238"/>
      <c r="M74" s="2238"/>
      <c r="N74" s="2238"/>
      <c r="O74" s="2238"/>
      <c r="P74" s="2238"/>
      <c r="Q74" s="2238"/>
      <c r="R74" s="2238"/>
      <c r="S74" s="2238"/>
      <c r="T74" s="2238"/>
      <c r="U74" s="2238"/>
      <c r="V74" s="2238"/>
      <c r="W74" s="2238"/>
      <c r="AR74" s="169">
        <v>0</v>
      </c>
    </row>
    <row customHeight="1" ht="28.5">
      <c r="E75" s="2237" t="s">
        <v>237</v>
      </c>
      <c r="F75" s="2237"/>
      <c r="G75" s="2238"/>
      <c r="H75" s="2238"/>
      <c r="I75" s="2238"/>
      <c r="J75" s="2238"/>
      <c r="K75" s="2238"/>
      <c r="L75" s="2238"/>
      <c r="M75" s="2238"/>
      <c r="N75" s="2238"/>
      <c r="O75" s="2238"/>
      <c r="P75" s="2238"/>
      <c r="Q75" s="2238"/>
      <c r="R75" s="2238"/>
      <c r="S75" s="2238"/>
      <c r="T75" s="2238"/>
      <c r="U75" s="2238"/>
      <c r="V75" s="2238"/>
      <c r="W75" s="2238"/>
      <c r="AR75" s="169">
        <v>0</v>
      </c>
    </row>
    <row customHeight="1" ht="27">
      <c r="E76" s="2237" t="s">
        <v>238</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c r="E77" s="2237" t="s">
        <v>239</v>
      </c>
      <c r="F77" s="2237"/>
      <c r="G77" s="2238"/>
      <c r="H77" s="2238"/>
      <c r="I77" s="2238"/>
      <c r="J77" s="2238"/>
      <c r="K77" s="2238"/>
      <c r="L77" s="2238"/>
      <c r="M77" s="2238"/>
      <c r="N77" s="2238"/>
      <c r="O77" s="2238"/>
      <c r="P77" s="2238"/>
      <c r="Q77" s="2238"/>
      <c r="R77" s="2238"/>
      <c r="S77" s="2238"/>
      <c r="T77" s="2238"/>
      <c r="U77" s="2238"/>
      <c r="V77" s="2238"/>
      <c r="W77" s="2238"/>
      <c r="AR77" s="169">
        <v>0</v>
      </c>
    </row>
    <row customHeight="1" ht="15">
      <c r="E78" s="405"/>
      <c r="F78" s="1350"/>
      <c r="G78" s="222"/>
      <c r="H78" s="222"/>
      <c r="I78" s="222"/>
      <c r="J78" s="222"/>
      <c r="K78" s="222"/>
      <c r="L78" s="222"/>
      <c r="M78" s="222"/>
      <c r="N78" s="222"/>
      <c r="O78" s="222"/>
      <c r="P78" s="222"/>
      <c r="Q78" s="222"/>
      <c r="R78" s="222"/>
      <c r="S78" s="222"/>
      <c r="T78" s="222"/>
      <c r="U78" s="222"/>
      <c r="V78" s="222"/>
      <c r="W78" s="222"/>
      <c r="AR78" s="169">
        <v>0</v>
      </c>
    </row>
    <row customHeight="1" ht="15">
      <c r="E79" s="2239" t="s">
        <v>240</v>
      </c>
      <c r="F79" s="2239"/>
      <c r="G79" s="2239"/>
      <c r="H79" s="2239"/>
      <c r="I79" s="2239"/>
      <c r="J79" s="2239"/>
      <c r="K79" s="2239"/>
      <c r="L79" s="2239"/>
      <c r="M79" s="2239"/>
      <c r="N79" s="2239"/>
      <c r="O79" s="2239"/>
      <c r="P79" s="2239"/>
      <c r="Q79" s="2239"/>
      <c r="R79" s="2239"/>
      <c r="S79" s="2239"/>
      <c r="T79" s="2239"/>
      <c r="U79" s="2239"/>
      <c r="V79" s="2239"/>
      <c r="W79" s="2239"/>
      <c r="AR79" s="169">
        <v>0</v>
      </c>
    </row>
    <row customHeight="1" ht="17.25">
      <c r="E80" s="2237" t="s">
        <v>241</v>
      </c>
      <c r="F80" s="2237"/>
      <c r="G80" s="2238"/>
      <c r="H80" s="2238"/>
      <c r="I80" s="2238"/>
      <c r="J80" s="2238"/>
      <c r="K80" s="2238"/>
      <c r="L80" s="2238"/>
      <c r="M80" s="2238"/>
      <c r="N80" s="2238"/>
      <c r="O80" s="2238"/>
      <c r="P80" s="2238"/>
      <c r="Q80" s="2238"/>
      <c r="R80" s="2238"/>
      <c r="S80" s="2238"/>
      <c r="T80" s="2238"/>
      <c r="U80" s="2238"/>
      <c r="V80" s="2238"/>
      <c r="W80" s="2238"/>
      <c r="AR80" s="169">
        <v>0</v>
      </c>
    </row>
    <row customHeight="1" ht="17.25">
      <c r="E81" s="2237" t="s">
        <v>242</v>
      </c>
      <c r="F81" s="2237"/>
      <c r="G81" s="2238"/>
      <c r="H81" s="2238"/>
      <c r="I81" s="2238"/>
      <c r="J81" s="2238"/>
      <c r="K81" s="2238"/>
      <c r="L81" s="2238"/>
      <c r="M81" s="2238"/>
      <c r="N81" s="2238"/>
      <c r="O81" s="2238"/>
      <c r="P81" s="2238"/>
      <c r="Q81" s="2238"/>
      <c r="R81" s="2238"/>
      <c r="S81" s="2238"/>
      <c r="T81" s="2238"/>
      <c r="U81" s="2238"/>
      <c r="V81" s="2238"/>
      <c r="W81" s="2238"/>
      <c r="AR81" s="169">
        <v>0</v>
      </c>
    </row>
    <row s="5485" customFormat="1" customHeight="1" ht="11.25" hidden="1">
      <c r="A82" s="342"/>
      <c r="B82" s="342"/>
      <c r="Y82" s="1324"/>
      <c r="Z82" s="1324"/>
      <c r="AA82" s="1324"/>
      <c r="AB82" s="1324"/>
      <c r="AC82" s="1324"/>
      <c r="AD82" s="1324"/>
      <c r="AE82" s="1324"/>
      <c r="AF82" s="1324"/>
      <c r="AG82" s="1324"/>
      <c r="AH82" s="1324"/>
      <c r="AI82" s="1324"/>
      <c r="AJ82" s="1324"/>
      <c r="AK82" s="1324"/>
      <c r="AL82" s="1324"/>
      <c r="AM82" s="1324"/>
      <c r="AN82" s="1324"/>
      <c r="AO82" s="1324"/>
      <c r="AP82" s="1324"/>
      <c r="AQ82" s="1324"/>
      <c r="AR82" s="1415">
        <v>0</v>
      </c>
    </row>
    <row s="5485" customFormat="1" customHeight="1" ht="17.25" hidden="1">
      <c r="A83" s="386"/>
      <c r="C83" s="274"/>
      <c r="D83" s="2200">
        <v>1</v>
      </c>
      <c r="E83" s="2208" t="s">
        <v>243</v>
      </c>
      <c r="F83" s="2210" t="s">
        <v>19</v>
      </c>
      <c r="G83" s="2208"/>
      <c r="H83" s="2213"/>
      <c r="I83" s="2215"/>
      <c r="J83" s="2217"/>
      <c r="K83" s="2202"/>
      <c r="L83" s="2202"/>
      <c r="M83" s="2202"/>
      <c r="N83" s="2204"/>
      <c r="O83" s="2202"/>
      <c r="P83" s="2202"/>
      <c r="Q83" s="2202"/>
      <c r="R83" s="2207"/>
      <c r="S83" s="2202"/>
      <c r="T83" s="1535"/>
      <c r="U83" s="1535"/>
      <c r="V83" s="1537"/>
      <c r="W83" s="1361"/>
      <c r="Y83" s="1332"/>
      <c r="Z83" s="1332"/>
      <c r="AA83" s="1332"/>
      <c r="AB83" s="1332"/>
      <c r="AC83" s="1332" t="s">
        <v>244</v>
      </c>
      <c r="AD83" s="1332" t="s">
        <v>245</v>
      </c>
      <c r="AE83" s="1332" t="s">
        <v>246</v>
      </c>
      <c r="AF83" s="1332" t="s">
        <v>247</v>
      </c>
      <c r="AG83" s="1332"/>
      <c r="AH83" s="1332" t="str">
        <f>IF($E$83=0,"",$E$83)</f>
        <v>Тариф на питьевую воду (питьевое водоснабжение)</v>
      </c>
      <c r="AI83" s="1332" t="str">
        <f>IF($G$83=0,"",$G$83)</f>
        <v/>
      </c>
      <c r="AJ83" s="1332" t="str">
        <f>IF($J$83=0,"",$J$83)</f>
        <v/>
      </c>
      <c r="AK83" s="1332" t="str">
        <f>IF($K$83="нет","без дифференциации",IF($N$83=0,"",$N$83))</f>
        <v/>
      </c>
      <c r="AL83" s="1332" t="str">
        <f>IF($O$83="нет","без дифференциации",IF($R$83=0,"",$R$83))</f>
        <v/>
      </c>
      <c r="AM83" s="1332" t="str">
        <f>IF($S$83="нет","без дифференциации",IF($V$83=0,"",$V$83))</f>
        <v/>
      </c>
      <c r="AN83" s="1332">
        <f>$I$83</f>
        <v>0</v>
      </c>
      <c r="AO83" s="1332" t="str">
        <f>$I$83&amp;"."&amp;$M$83</f>
        <v>.</v>
      </c>
      <c r="AP83" s="1332" t="str">
        <f>$I$83&amp;"."&amp;$M$83&amp;"."&amp;$Q$83</f>
        <v>..</v>
      </c>
      <c r="AQ83" s="1332" t="str">
        <f>$I$83&amp;"."&amp;$M$83&amp;"."&amp;$Q$83&amp;"."&amp;$U$83</f>
        <v>...</v>
      </c>
      <c r="AR83" s="1415">
        <v>0</v>
      </c>
    </row>
    <row s="5485" customFormat="1" customHeight="1" ht="17.25" hidden="1">
      <c r="A84" s="386"/>
      <c r="C84" s="385"/>
      <c r="D84" s="2200"/>
      <c r="E84" s="2208"/>
      <c r="F84" s="2211"/>
      <c r="G84" s="2208"/>
      <c r="H84" s="2214"/>
      <c r="I84" s="2216"/>
      <c r="J84" s="2218"/>
      <c r="K84" s="2203"/>
      <c r="L84" s="2203"/>
      <c r="M84" s="2203"/>
      <c r="N84" s="2205"/>
      <c r="O84" s="2203"/>
      <c r="P84" s="2203"/>
      <c r="Q84" s="2203"/>
      <c r="R84" s="2206"/>
      <c r="S84" s="2203"/>
      <c r="T84" s="1362"/>
      <c r="U84" s="1362"/>
      <c r="V84" s="1362"/>
      <c r="W84" s="1363"/>
      <c r="Y84" s="1324"/>
      <c r="Z84" s="1324"/>
      <c r="AA84" s="1324"/>
      <c r="AB84" s="1324"/>
      <c r="AC84" s="1324"/>
      <c r="AD84" s="1324"/>
      <c r="AE84" s="1324"/>
      <c r="AF84" s="1324"/>
      <c r="AG84" s="1324"/>
      <c r="AH84" s="1324"/>
      <c r="AI84" s="1324"/>
      <c r="AJ84" s="1324"/>
      <c r="AK84" s="1324"/>
      <c r="AL84" s="1324"/>
      <c r="AM84" s="1324"/>
      <c r="AN84" s="1324"/>
      <c r="AO84" s="1324"/>
      <c r="AP84" s="1324"/>
      <c r="AQ84" s="1324"/>
      <c r="AR84" s="1415">
        <v>0</v>
      </c>
    </row>
    <row s="5485" customFormat="1" customHeight="1" ht="17.25" hidden="1">
      <c r="A85" s="386"/>
      <c r="C85" s="274"/>
      <c r="D85" s="2200"/>
      <c r="E85" s="2208"/>
      <c r="F85" s="2211"/>
      <c r="G85" s="2208"/>
      <c r="H85" s="2214"/>
      <c r="I85" s="2216"/>
      <c r="J85" s="2219"/>
      <c r="K85" s="2203"/>
      <c r="L85" s="2203"/>
      <c r="M85" s="2203"/>
      <c r="N85" s="2206"/>
      <c r="O85" s="2203"/>
      <c r="P85" s="1536"/>
      <c r="Q85" s="1362"/>
      <c r="R85" s="1362"/>
      <c r="S85" s="394"/>
      <c r="T85" s="394"/>
      <c r="U85" s="394"/>
      <c r="V85" s="394"/>
      <c r="W85" s="1363"/>
      <c r="Y85" s="1332"/>
      <c r="Z85" s="1332"/>
      <c r="AA85" s="1332"/>
      <c r="AB85" s="1332"/>
      <c r="AC85" s="1332"/>
      <c r="AD85" s="1332"/>
      <c r="AE85" s="1332"/>
      <c r="AF85" s="1332"/>
      <c r="AG85" s="1332"/>
      <c r="AH85" s="1332"/>
      <c r="AI85" s="1332"/>
      <c r="AJ85" s="1332"/>
      <c r="AK85" s="1332"/>
      <c r="AL85" s="1332"/>
      <c r="AM85" s="1332"/>
      <c r="AN85" s="1332"/>
      <c r="AO85" s="1332"/>
      <c r="AP85" s="1332"/>
      <c r="AQ85" s="1332"/>
      <c r="AR85" s="1506">
        <v>0</v>
      </c>
    </row>
    <row s="5485" customFormat="1" customHeight="1" ht="17.25" hidden="1">
      <c r="A86" s="386"/>
      <c r="C86" s="385"/>
      <c r="D86" s="2200"/>
      <c r="E86" s="2208"/>
      <c r="F86" s="2211"/>
      <c r="G86" s="2208"/>
      <c r="H86" s="2214"/>
      <c r="I86" s="2216"/>
      <c r="J86" s="2219"/>
      <c r="K86" s="2203"/>
      <c r="L86" s="1362"/>
      <c r="M86" s="1362"/>
      <c r="N86" s="1362"/>
      <c r="O86" s="1362"/>
      <c r="P86" s="1362"/>
      <c r="Q86" s="1362"/>
      <c r="R86" s="1362"/>
      <c r="S86" s="394"/>
      <c r="T86" s="394"/>
      <c r="U86" s="394"/>
      <c r="V86" s="394"/>
      <c r="W86" s="1363"/>
      <c r="Y86" s="1324"/>
      <c r="Z86" s="1324"/>
      <c r="AA86" s="1324"/>
      <c r="AB86" s="1324"/>
      <c r="AC86" s="1324"/>
      <c r="AD86" s="1324"/>
      <c r="AE86" s="1324"/>
      <c r="AF86" s="1324"/>
      <c r="AG86" s="1324"/>
      <c r="AH86" s="1324"/>
      <c r="AI86" s="1324"/>
      <c r="AJ86" s="1324"/>
      <c r="AK86" s="1324"/>
      <c r="AL86" s="1324"/>
      <c r="AM86" s="1324"/>
      <c r="AN86" s="1324"/>
      <c r="AO86" s="1324"/>
      <c r="AP86" s="1324"/>
      <c r="AQ86" s="1324"/>
      <c r="AR86" s="1506">
        <v>0</v>
      </c>
    </row>
    <row s="5485" customFormat="1" customHeight="1" ht="17.25" hidden="1">
      <c r="A87" s="386"/>
      <c r="C87" s="385"/>
      <c r="D87" s="2201"/>
      <c r="E87" s="2209"/>
      <c r="F87" s="2212"/>
      <c r="G87" s="2209"/>
      <c r="H87" s="1364"/>
      <c r="I87" s="1365"/>
      <c r="J87" s="1365"/>
      <c r="K87" s="1365"/>
      <c r="L87" s="1365"/>
      <c r="M87" s="1365"/>
      <c r="N87" s="1365"/>
      <c r="O87" s="1365"/>
      <c r="P87" s="1365"/>
      <c r="Q87" s="1365"/>
      <c r="R87" s="1365"/>
      <c r="S87" s="1366"/>
      <c r="T87" s="1366"/>
      <c r="U87" s="1366"/>
      <c r="V87" s="1366"/>
      <c r="W87" s="1367"/>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485" customFormat="1" customHeight="1" ht="17.25" hidden="1">
      <c r="A88" s="386"/>
      <c r="C88" s="274"/>
      <c r="D88" s="2200">
        <v>2</v>
      </c>
      <c r="E88" s="2208" t="s">
        <v>248</v>
      </c>
      <c r="F88" s="2210" t="s">
        <v>19</v>
      </c>
      <c r="G88" s="2208"/>
      <c r="H88" s="2213"/>
      <c r="I88" s="2215"/>
      <c r="J88" s="2217"/>
      <c r="K88" s="2202"/>
      <c r="L88" s="2202"/>
      <c r="M88" s="2202"/>
      <c r="N88" s="2204"/>
      <c r="O88" s="2202"/>
      <c r="P88" s="2202"/>
      <c r="Q88" s="2202"/>
      <c r="R88" s="2207"/>
      <c r="S88" s="2202"/>
      <c r="T88" s="1508"/>
      <c r="U88" s="1508"/>
      <c r="V88" s="1510"/>
      <c r="W88" s="1361"/>
      <c r="X88" s="1332"/>
      <c r="Y88" s="1332"/>
      <c r="Z88" s="1332"/>
      <c r="AA88" s="1332"/>
      <c r="AB88" s="1332"/>
      <c r="AC88" s="1332" t="s">
        <v>249</v>
      </c>
      <c r="AD88" s="1332" t="s">
        <v>250</v>
      </c>
      <c r="AE88" s="1332" t="s">
        <v>251</v>
      </c>
      <c r="AF88" s="1332" t="s">
        <v>252</v>
      </c>
      <c r="AG88" s="1332"/>
      <c r="AH88" s="1332" t="str">
        <f>IF($E$88=0,"",$E$88)</f>
        <v>Тариф на техническую воду</v>
      </c>
      <c r="AI88" s="1332" t="str">
        <f>IF($G$88=0,"",$G$88)</f>
        <v/>
      </c>
      <c r="AJ88" s="1332" t="str">
        <f>IF($J$88=0,"",$J$88)</f>
        <v/>
      </c>
      <c r="AK88" s="1332" t="str">
        <f>IF($K$88="нет","без дифференциации",IF($N$88=0,"",$N$88))</f>
        <v/>
      </c>
      <c r="AL88" s="1332" t="str">
        <f>IF($O$88="нет","без дифференциации",IF($R$88=0,"",$R$88))</f>
        <v/>
      </c>
      <c r="AM88" s="1332" t="str">
        <f>IF($S$88="нет","без дифференциации",IF($V$88=0,"",$V$88))</f>
        <v/>
      </c>
      <c r="AN88" s="1837">
        <f>$I$88</f>
        <v>0</v>
      </c>
      <c r="AO88" s="1332" t="str">
        <f>$I$88&amp;"."&amp;$M$88</f>
        <v>.</v>
      </c>
      <c r="AP88" s="1324" t="str">
        <f>$I$88&amp;"."&amp;$M$88&amp;"."&amp;$Q$88</f>
        <v>..</v>
      </c>
      <c r="AQ88" s="1324" t="str">
        <f>$I$88&amp;"."&amp;$M$88&amp;"."&amp;$Q$88&amp;"."&amp;$U$88</f>
        <v>...</v>
      </c>
      <c r="AR88" s="1415">
        <v>0</v>
      </c>
    </row>
    <row s="5485" customFormat="1" customHeight="1" ht="17.25" hidden="1">
      <c r="A89" s="386"/>
      <c r="C89" s="385"/>
      <c r="D89" s="2200"/>
      <c r="E89" s="2208"/>
      <c r="F89" s="2211"/>
      <c r="G89" s="2208"/>
      <c r="H89" s="2214"/>
      <c r="I89" s="2216"/>
      <c r="J89" s="2218"/>
      <c r="K89" s="2203"/>
      <c r="L89" s="2203"/>
      <c r="M89" s="2203"/>
      <c r="N89" s="2205"/>
      <c r="O89" s="2203"/>
      <c r="P89" s="2203"/>
      <c r="Q89" s="2203"/>
      <c r="R89" s="2206"/>
      <c r="S89" s="2203"/>
      <c r="T89" s="1362"/>
      <c r="U89" s="1362"/>
      <c r="V89" s="1362"/>
      <c r="W89" s="1363"/>
      <c r="X89" s="1324"/>
      <c r="Y89" s="1324"/>
      <c r="Z89" s="1324"/>
      <c r="AA89" s="1324"/>
      <c r="AB89" s="1324"/>
      <c r="AC89" s="1324"/>
      <c r="AD89" s="1324"/>
      <c r="AE89" s="1324"/>
      <c r="AF89" s="1324"/>
      <c r="AG89" s="1324"/>
      <c r="AH89" s="1324"/>
      <c r="AI89" s="1324"/>
      <c r="AJ89" s="1324"/>
      <c r="AK89" s="1324"/>
      <c r="AL89" s="1324"/>
      <c r="AM89" s="1324"/>
      <c r="AN89" s="1324"/>
      <c r="AO89" s="1324"/>
      <c r="AP89" s="1324"/>
      <c r="AQ89" s="1324"/>
      <c r="AR89" s="1415">
        <v>0</v>
      </c>
    </row>
    <row s="5485" customFormat="1" customHeight="1" ht="17.25" hidden="1">
      <c r="A90" s="386"/>
      <c r="C90" s="385"/>
      <c r="D90" s="2201"/>
      <c r="E90" s="2209"/>
      <c r="F90" s="2211"/>
      <c r="G90" s="2209"/>
      <c r="H90" s="2214"/>
      <c r="I90" s="2216"/>
      <c r="J90" s="2219"/>
      <c r="K90" s="2203"/>
      <c r="L90" s="2203"/>
      <c r="M90" s="2203"/>
      <c r="N90" s="2206"/>
      <c r="O90" s="2203"/>
      <c r="P90" s="1509"/>
      <c r="Q90" s="1362"/>
      <c r="R90" s="1362"/>
      <c r="S90" s="394"/>
      <c r="T90" s="394"/>
      <c r="U90" s="394"/>
      <c r="V90" s="394"/>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485" customFormat="1" customHeight="1" ht="17.25" hidden="1">
      <c r="A91" s="386"/>
      <c r="C91" s="385"/>
      <c r="D91" s="2201"/>
      <c r="E91" s="2209"/>
      <c r="F91" s="2211"/>
      <c r="G91" s="2209"/>
      <c r="H91" s="2214"/>
      <c r="I91" s="2216"/>
      <c r="J91" s="2219"/>
      <c r="K91" s="2203"/>
      <c r="L91" s="1362"/>
      <c r="M91" s="1362"/>
      <c r="N91" s="1362"/>
      <c r="O91" s="1362"/>
      <c r="P91" s="1362"/>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485" customFormat="1" customHeight="1" ht="17.25" hidden="1">
      <c r="A92" s="386"/>
      <c r="C92" s="385"/>
      <c r="D92" s="2201"/>
      <c r="E92" s="2209"/>
      <c r="F92" s="2212"/>
      <c r="G92" s="2209"/>
      <c r="H92" s="1364"/>
      <c r="I92" s="1365"/>
      <c r="J92" s="1365"/>
      <c r="K92" s="1365"/>
      <c r="L92" s="1365"/>
      <c r="M92" s="1365"/>
      <c r="N92" s="1365"/>
      <c r="O92" s="1365"/>
      <c r="P92" s="1365"/>
      <c r="Q92" s="1365"/>
      <c r="R92" s="1365"/>
      <c r="S92" s="1366"/>
      <c r="T92" s="1366"/>
      <c r="U92" s="1366"/>
      <c r="V92" s="1366"/>
      <c r="W92" s="1367"/>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485" customFormat="1" customHeight="1" ht="17.25" hidden="1">
      <c r="A93" s="386"/>
      <c r="C93" s="274"/>
      <c r="D93" s="2200">
        <v>3</v>
      </c>
      <c r="E93" s="2208" t="s">
        <v>253</v>
      </c>
      <c r="F93" s="2210" t="s">
        <v>19</v>
      </c>
      <c r="G93" s="2208"/>
      <c r="H93" s="2213"/>
      <c r="I93" s="2215"/>
      <c r="J93" s="2217"/>
      <c r="K93" s="2202"/>
      <c r="L93" s="2202"/>
      <c r="M93" s="2202"/>
      <c r="N93" s="2204"/>
      <c r="O93" s="2202"/>
      <c r="P93" s="2202"/>
      <c r="Q93" s="2202"/>
      <c r="R93" s="2207"/>
      <c r="S93" s="2202"/>
      <c r="T93" s="1508"/>
      <c r="U93" s="1508"/>
      <c r="V93" s="1510"/>
      <c r="W93" s="1361"/>
      <c r="X93" s="1332"/>
      <c r="Y93" s="1332"/>
      <c r="Z93" s="1332"/>
      <c r="AA93" s="1332"/>
      <c r="AB93" s="1332"/>
      <c r="AC93" s="1332" t="s">
        <v>254</v>
      </c>
      <c r="AD93" s="1332" t="s">
        <v>255</v>
      </c>
      <c r="AE93" s="1332" t="s">
        <v>256</v>
      </c>
      <c r="AF93" s="1332" t="s">
        <v>257</v>
      </c>
      <c r="AG93" s="1332"/>
      <c r="AH93" s="1332" t="str">
        <f>IF($E$93=0,"",$E$93)</f>
        <v>Тариф на транспортировку воды</v>
      </c>
      <c r="AI93" s="1332" t="str">
        <f>IF($G$93=0,"",$G$93)</f>
        <v/>
      </c>
      <c r="AJ93" s="1332" t="str">
        <f>IF($J$93=0,"",$J$93)</f>
        <v/>
      </c>
      <c r="AK93" s="1332" t="str">
        <f>IF($K$93="нет","без дифференциации",IF($N$93=0,"",$N$93))</f>
        <v/>
      </c>
      <c r="AL93" s="1332" t="str">
        <f>IF($O$93="нет","без дифференциации",IF($R$93=0,"",$R$93))</f>
        <v/>
      </c>
      <c r="AM93" s="1332" t="str">
        <f>IF($S$93="нет","без дифференциации",IF($V$93=0,"",$V$93))</f>
        <v/>
      </c>
      <c r="AN93" s="1837">
        <f>$I$93</f>
        <v>0</v>
      </c>
      <c r="AO93" s="1332" t="str">
        <f>$I$93&amp;"."&amp;$M$93</f>
        <v>.</v>
      </c>
      <c r="AP93" s="1324" t="str">
        <f>$I$93&amp;"."&amp;$M$93&amp;"."&amp;$Q$93</f>
        <v>..</v>
      </c>
      <c r="AQ93" s="1324" t="str">
        <f>$I$93&amp;"."&amp;$M$93&amp;"."&amp;$Q$93&amp;"."&amp;$U$93</f>
        <v>...</v>
      </c>
      <c r="AR93" s="1415">
        <v>0</v>
      </c>
    </row>
    <row s="5485" customFormat="1" customHeight="1" ht="17.25" hidden="1">
      <c r="A94" s="386"/>
      <c r="C94" s="385"/>
      <c r="D94" s="2200"/>
      <c r="E94" s="2208"/>
      <c r="F94" s="2211"/>
      <c r="G94" s="2208"/>
      <c r="H94" s="2214"/>
      <c r="I94" s="2216"/>
      <c r="J94" s="2218"/>
      <c r="K94" s="2203"/>
      <c r="L94" s="2203"/>
      <c r="M94" s="2203"/>
      <c r="N94" s="2205"/>
      <c r="O94" s="2203"/>
      <c r="P94" s="2203"/>
      <c r="Q94" s="2203"/>
      <c r="R94" s="2206"/>
      <c r="S94" s="2203"/>
      <c r="T94" s="1362"/>
      <c r="U94" s="1362"/>
      <c r="V94" s="1362"/>
      <c r="W94" s="1363"/>
      <c r="X94" s="1324"/>
      <c r="Y94" s="1324"/>
      <c r="Z94" s="1324"/>
      <c r="AA94" s="1324"/>
      <c r="AB94" s="1324"/>
      <c r="AC94" s="1324"/>
      <c r="AD94" s="1324"/>
      <c r="AE94" s="1324"/>
      <c r="AF94" s="1324"/>
      <c r="AG94" s="1324"/>
      <c r="AH94" s="1324"/>
      <c r="AI94" s="1324"/>
      <c r="AJ94" s="1324"/>
      <c r="AK94" s="1324"/>
      <c r="AL94" s="1324"/>
      <c r="AM94" s="1324"/>
      <c r="AN94" s="1324"/>
      <c r="AO94" s="1324"/>
      <c r="AP94" s="1324"/>
      <c r="AQ94" s="1324"/>
      <c r="AR94" s="1415">
        <v>0</v>
      </c>
    </row>
    <row s="5485" customFormat="1" customHeight="1" ht="17.25" hidden="1">
      <c r="A95" s="386"/>
      <c r="C95" s="385"/>
      <c r="D95" s="2201"/>
      <c r="E95" s="2209"/>
      <c r="F95" s="2211"/>
      <c r="G95" s="2209"/>
      <c r="H95" s="2214"/>
      <c r="I95" s="2216"/>
      <c r="J95" s="2219"/>
      <c r="K95" s="2203"/>
      <c r="L95" s="2203"/>
      <c r="M95" s="2203"/>
      <c r="N95" s="2206"/>
      <c r="O95" s="2203"/>
      <c r="P95" s="1509"/>
      <c r="Q95" s="1362"/>
      <c r="R95" s="1362"/>
      <c r="S95" s="394"/>
      <c r="T95" s="394"/>
      <c r="U95" s="394"/>
      <c r="V95" s="394"/>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485" customFormat="1" customHeight="1" ht="17.25" hidden="1">
      <c r="A96" s="386"/>
      <c r="C96" s="385"/>
      <c r="D96" s="2201"/>
      <c r="E96" s="2209"/>
      <c r="F96" s="2211"/>
      <c r="G96" s="2209"/>
      <c r="H96" s="2214"/>
      <c r="I96" s="2216"/>
      <c r="J96" s="2219"/>
      <c r="K96" s="2203"/>
      <c r="L96" s="1362"/>
      <c r="M96" s="1362"/>
      <c r="N96" s="1362"/>
      <c r="O96" s="1362"/>
      <c r="P96" s="1362"/>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485" customFormat="1" customHeight="1" ht="17.25" hidden="1">
      <c r="A97" s="386"/>
      <c r="C97" s="385"/>
      <c r="D97" s="2201"/>
      <c r="E97" s="2209"/>
      <c r="F97" s="2212"/>
      <c r="G97" s="2209"/>
      <c r="H97" s="1364"/>
      <c r="I97" s="1365"/>
      <c r="J97" s="1365"/>
      <c r="K97" s="1365"/>
      <c r="L97" s="1365"/>
      <c r="M97" s="1365"/>
      <c r="N97" s="1365"/>
      <c r="O97" s="1365"/>
      <c r="P97" s="1365"/>
      <c r="Q97" s="1365"/>
      <c r="R97" s="1365"/>
      <c r="S97" s="1366"/>
      <c r="T97" s="1366"/>
      <c r="U97" s="1366"/>
      <c r="V97" s="1366"/>
      <c r="W97" s="1367"/>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485" customFormat="1" customHeight="1" ht="17.25" hidden="1">
      <c r="A98" s="386"/>
      <c r="C98" s="274"/>
      <c r="D98" s="2200">
        <v>4</v>
      </c>
      <c r="E98" s="2208" t="s">
        <v>258</v>
      </c>
      <c r="F98" s="2210" t="s">
        <v>19</v>
      </c>
      <c r="G98" s="2208"/>
      <c r="H98" s="2213"/>
      <c r="I98" s="2215"/>
      <c r="J98" s="2217"/>
      <c r="K98" s="2202"/>
      <c r="L98" s="2202"/>
      <c r="M98" s="2202"/>
      <c r="N98" s="2204"/>
      <c r="O98" s="2202"/>
      <c r="P98" s="2202"/>
      <c r="Q98" s="2202"/>
      <c r="R98" s="2207"/>
      <c r="S98" s="2202"/>
      <c r="T98" s="1508"/>
      <c r="U98" s="1508"/>
      <c r="V98" s="1510"/>
      <c r="W98" s="1361"/>
      <c r="X98" s="1332"/>
      <c r="Y98" s="1332"/>
      <c r="Z98" s="1332"/>
      <c r="AA98" s="1332"/>
      <c r="AB98" s="1332"/>
      <c r="AC98" s="1332" t="s">
        <v>259</v>
      </c>
      <c r="AD98" s="1332" t="s">
        <v>260</v>
      </c>
      <c r="AE98" s="1332" t="s">
        <v>261</v>
      </c>
      <c r="AF98" s="1332" t="s">
        <v>262</v>
      </c>
      <c r="AG98" s="1332"/>
      <c r="AH98" s="1332" t="str">
        <f>IF($E$98=0,"",$E$98)</f>
        <v>Тариф на подвоз воды</v>
      </c>
      <c r="AI98" s="1332" t="str">
        <f>IF($G$98=0,"",$G$98)</f>
        <v/>
      </c>
      <c r="AJ98" s="1332" t="str">
        <f>IF($J$98=0,"",$J$98)</f>
        <v/>
      </c>
      <c r="AK98" s="1332" t="str">
        <f>IF($K$98="нет","без дифференциации",IF($N$98=0,"",$N$98))</f>
        <v/>
      </c>
      <c r="AL98" s="1332" t="str">
        <f>IF($O$98="нет","без дифференциации",IF($R$98=0,"",$R$98))</f>
        <v/>
      </c>
      <c r="AM98" s="1332" t="str">
        <f>IF($S$98="нет","без дифференциации",IF($V$98=0,"",$V$98))</f>
        <v/>
      </c>
      <c r="AN98" s="1837">
        <f>$I$98</f>
        <v>0</v>
      </c>
      <c r="AO98" s="1332" t="str">
        <f>$I$98&amp;"."&amp;$M$98</f>
        <v>.</v>
      </c>
      <c r="AP98" s="1324" t="str">
        <f>$I$98&amp;"."&amp;$M$98&amp;"."&amp;$Q$98</f>
        <v>..</v>
      </c>
      <c r="AQ98" s="1324" t="str">
        <f>$I$98&amp;"."&amp;$M$98&amp;"."&amp;$Q$98&amp;"."&amp;$U$98</f>
        <v>...</v>
      </c>
      <c r="AR98" s="1415">
        <v>0</v>
      </c>
    </row>
    <row s="5485" customFormat="1" customHeight="1" ht="17.25" hidden="1">
      <c r="A99" s="386"/>
      <c r="C99" s="385"/>
      <c r="D99" s="2200"/>
      <c r="E99" s="2208"/>
      <c r="F99" s="2211"/>
      <c r="G99" s="2208"/>
      <c r="H99" s="2214"/>
      <c r="I99" s="2216"/>
      <c r="J99" s="2218"/>
      <c r="K99" s="2203"/>
      <c r="L99" s="2203"/>
      <c r="M99" s="2203"/>
      <c r="N99" s="2205"/>
      <c r="O99" s="2203"/>
      <c r="P99" s="2203"/>
      <c r="Q99" s="2203"/>
      <c r="R99" s="2206"/>
      <c r="S99" s="2203"/>
      <c r="T99" s="1362"/>
      <c r="U99" s="1362"/>
      <c r="V99" s="1362"/>
      <c r="W99" s="1363"/>
      <c r="X99" s="1324"/>
      <c r="Y99" s="1324"/>
      <c r="Z99" s="1324"/>
      <c r="AA99" s="1324"/>
      <c r="AB99" s="1324"/>
      <c r="AC99" s="1324"/>
      <c r="AD99" s="1324"/>
      <c r="AE99" s="1324"/>
      <c r="AF99" s="1324"/>
      <c r="AG99" s="1324"/>
      <c r="AH99" s="1324"/>
      <c r="AI99" s="1324"/>
      <c r="AJ99" s="1324"/>
      <c r="AK99" s="1324"/>
      <c r="AL99" s="1324"/>
      <c r="AM99" s="1324"/>
      <c r="AN99" s="1324"/>
      <c r="AO99" s="1324"/>
      <c r="AP99" s="1324"/>
      <c r="AQ99" s="1324"/>
      <c r="AR99" s="1415">
        <v>0</v>
      </c>
    </row>
    <row s="5485" customFormat="1" customHeight="1" ht="17.25" hidden="1">
      <c r="A100" s="386"/>
      <c r="C100" s="385"/>
      <c r="D100" s="2201"/>
      <c r="E100" s="2209"/>
      <c r="F100" s="2211"/>
      <c r="G100" s="2209"/>
      <c r="H100" s="2214"/>
      <c r="I100" s="2216"/>
      <c r="J100" s="2219"/>
      <c r="K100" s="2203"/>
      <c r="L100" s="2203"/>
      <c r="M100" s="2203"/>
      <c r="N100" s="2206"/>
      <c r="O100" s="2203"/>
      <c r="P100" s="1509"/>
      <c r="Q100" s="1362"/>
      <c r="R100" s="1362"/>
      <c r="S100" s="394"/>
      <c r="T100" s="394"/>
      <c r="U100" s="394"/>
      <c r="V100" s="394"/>
      <c r="W100" s="1363"/>
      <c r="X100" s="1324"/>
      <c r="Y100" s="1324"/>
      <c r="Z100" s="1324"/>
      <c r="AA100" s="1324"/>
      <c r="AB100" s="1324"/>
      <c r="AC100" s="1324"/>
      <c r="AD100" s="1324"/>
      <c r="AE100" s="1324"/>
      <c r="AF100" s="1324"/>
      <c r="AG100" s="1324"/>
      <c r="AH100" s="1324"/>
      <c r="AI100" s="1324"/>
      <c r="AJ100" s="1324"/>
      <c r="AK100" s="1324"/>
      <c r="AL100" s="1324"/>
      <c r="AM100" s="1324"/>
      <c r="AN100" s="1324"/>
      <c r="AO100" s="1324"/>
      <c r="AP100" s="1324"/>
      <c r="AQ100" s="1324"/>
      <c r="AR100" s="1415">
        <v>0</v>
      </c>
    </row>
    <row s="5485" customFormat="1" customHeight="1" ht="17.25" hidden="1">
      <c r="A101" s="386"/>
      <c r="C101" s="385"/>
      <c r="D101" s="2201"/>
      <c r="E101" s="2209"/>
      <c r="F101" s="2211"/>
      <c r="G101" s="2209"/>
      <c r="H101" s="2214"/>
      <c r="I101" s="2216"/>
      <c r="J101" s="2219"/>
      <c r="K101" s="2203"/>
      <c r="L101" s="1362"/>
      <c r="M101" s="1362"/>
      <c r="N101" s="1362"/>
      <c r="O101" s="1362"/>
      <c r="P101" s="1362"/>
      <c r="Q101" s="1362"/>
      <c r="R101" s="1362"/>
      <c r="S101" s="394"/>
      <c r="T101" s="394"/>
      <c r="U101" s="394"/>
      <c r="V101" s="394"/>
      <c r="W101" s="1363"/>
      <c r="X101" s="1324"/>
      <c r="Y101" s="1324"/>
      <c r="Z101" s="1324"/>
      <c r="AA101" s="1324"/>
      <c r="AB101" s="1324"/>
      <c r="AC101" s="1324"/>
      <c r="AD101" s="1324"/>
      <c r="AE101" s="1324"/>
      <c r="AF101" s="1324"/>
      <c r="AG101" s="1324"/>
      <c r="AH101" s="1324"/>
      <c r="AI101" s="1324"/>
      <c r="AJ101" s="1324"/>
      <c r="AK101" s="1324"/>
      <c r="AL101" s="1324"/>
      <c r="AM101" s="1324"/>
      <c r="AN101" s="1324"/>
      <c r="AO101" s="1324"/>
      <c r="AP101" s="1324"/>
      <c r="AQ101" s="1324"/>
      <c r="AR101" s="1415">
        <v>0</v>
      </c>
    </row>
    <row s="5485" customFormat="1" customHeight="1" ht="17.25" hidden="1">
      <c r="A102" s="386"/>
      <c r="C102" s="385"/>
      <c r="D102" s="2201"/>
      <c r="E102" s="2209"/>
      <c r="F102" s="2212"/>
      <c r="G102" s="2209"/>
      <c r="H102" s="1364"/>
      <c r="I102" s="1365"/>
      <c r="J102" s="1365"/>
      <c r="K102" s="1365"/>
      <c r="L102" s="1365"/>
      <c r="M102" s="1365"/>
      <c r="N102" s="1365"/>
      <c r="O102" s="1365"/>
      <c r="P102" s="1365"/>
      <c r="Q102" s="1365"/>
      <c r="R102" s="1365"/>
      <c r="S102" s="1366"/>
      <c r="T102" s="1366"/>
      <c r="U102" s="1366"/>
      <c r="V102" s="1366"/>
      <c r="W102" s="1367"/>
      <c r="X102" s="1324"/>
      <c r="Y102" s="1324"/>
      <c r="Z102" s="1324"/>
      <c r="AA102" s="1324"/>
      <c r="AB102" s="1324"/>
      <c r="AC102" s="1324"/>
      <c r="AD102" s="1324"/>
      <c r="AE102" s="1324"/>
      <c r="AF102" s="1324"/>
      <c r="AG102" s="1324"/>
      <c r="AH102" s="1324"/>
      <c r="AI102" s="1324"/>
      <c r="AJ102" s="1324"/>
      <c r="AK102" s="1324"/>
      <c r="AL102" s="1324"/>
      <c r="AM102" s="1324"/>
      <c r="AN102" s="1324"/>
      <c r="AO102" s="1324"/>
      <c r="AP102" s="1324"/>
      <c r="AQ102" s="1324"/>
      <c r="AR102" s="1415">
        <v>0</v>
      </c>
    </row>
    <row s="5485" customFormat="1" customHeight="1" ht="17.25" hidden="1">
      <c r="A103" s="386"/>
      <c r="C103" s="274"/>
      <c r="D103" s="2200">
        <v>5</v>
      </c>
      <c r="E103" s="2208" t="s">
        <v>263</v>
      </c>
      <c r="F103" s="2210" t="s">
        <v>19</v>
      </c>
      <c r="G103" s="2208"/>
      <c r="H103" s="2213"/>
      <c r="I103" s="2215"/>
      <c r="J103" s="2217"/>
      <c r="K103" s="2202"/>
      <c r="L103" s="2202"/>
      <c r="M103" s="2202"/>
      <c r="N103" s="2204"/>
      <c r="O103" s="2202"/>
      <c r="P103" s="2202"/>
      <c r="Q103" s="2202"/>
      <c r="R103" s="2207"/>
      <c r="S103" s="2202"/>
      <c r="T103" s="2008"/>
      <c r="U103" s="2008"/>
      <c r="V103" s="2010"/>
      <c r="W103" s="1361"/>
      <c r="X103" s="1332"/>
      <c r="Y103" s="1332"/>
      <c r="Z103" s="1332"/>
      <c r="AA103" s="1332"/>
      <c r="AB103" s="1332"/>
      <c r="AC103" s="1332" t="s">
        <v>264</v>
      </c>
      <c r="AD103" s="1332" t="s">
        <v>265</v>
      </c>
      <c r="AE103" s="1332" t="s">
        <v>266</v>
      </c>
      <c r="AF103" s="1332" t="s">
        <v>267</v>
      </c>
      <c r="AG103" s="1332"/>
      <c r="AH103" s="1332" t="str">
        <f>IF($E$103=0,"",$E$103)</f>
        <v>Тариф на подключение (технологическое присоединение) к централизованной системе холодного водоснабжения</v>
      </c>
      <c r="AI103" s="1332" t="str">
        <f>IF($G$103=0,"",$G$103)</f>
        <v/>
      </c>
      <c r="AJ103" s="1332" t="str">
        <f>IF($J$103=0,"",$J$103)</f>
        <v/>
      </c>
      <c r="AK103" s="1332" t="str">
        <f>IF($K$103="нет","без дифференциации",IF($N$103=0,"",$N$103))</f>
        <v/>
      </c>
      <c r="AL103" s="1332" t="str">
        <f>IF($O$103="нет","без дифференциации",IF($R$103=0,"",$R$103))</f>
        <v/>
      </c>
      <c r="AM103" s="1332" t="str">
        <f>IF($S$103="нет","без дифференциации",IF($V$103=0,"",$V$103))</f>
        <v/>
      </c>
      <c r="AN103" s="1837">
        <f>$I$103</f>
        <v>0</v>
      </c>
      <c r="AO103" s="1332" t="str">
        <f>$I$103&amp;"."&amp;$M$103</f>
        <v>.</v>
      </c>
      <c r="AP103" s="1331" t="str">
        <f>$I$103&amp;"."&amp;$M$103&amp;"."&amp;$Q$103</f>
        <v>..</v>
      </c>
      <c r="AQ103" s="1331" t="str">
        <f>$I$103&amp;"."&amp;$M$103&amp;"."&amp;$Q$103&amp;"."&amp;$U$103</f>
        <v>...</v>
      </c>
      <c r="AR103" s="1532">
        <v>0</v>
      </c>
    </row>
    <row s="5485" customFormat="1" customHeight="1" ht="17.25" hidden="1">
      <c r="A104" s="386"/>
      <c r="C104" s="385"/>
      <c r="D104" s="2200"/>
      <c r="E104" s="2208"/>
      <c r="F104" s="2211"/>
      <c r="G104" s="2208"/>
      <c r="H104" s="2214"/>
      <c r="I104" s="2216"/>
      <c r="J104" s="2218"/>
      <c r="K104" s="2203"/>
      <c r="L104" s="2203"/>
      <c r="M104" s="2203"/>
      <c r="N104" s="2205"/>
      <c r="O104" s="2203"/>
      <c r="P104" s="2203"/>
      <c r="Q104" s="2203"/>
      <c r="R104" s="2206"/>
      <c r="S104" s="2203"/>
      <c r="T104" s="2013"/>
      <c r="U104" s="2013"/>
      <c r="V104" s="2013"/>
      <c r="W104" s="2014"/>
      <c r="X104" s="1331"/>
      <c r="Y104" s="1331"/>
      <c r="Z104" s="1331"/>
      <c r="AA104" s="1331"/>
      <c r="AB104" s="1331"/>
      <c r="AC104" s="1331"/>
      <c r="AD104" s="1331"/>
      <c r="AE104" s="1331"/>
      <c r="AF104" s="1331"/>
      <c r="AG104" s="1331"/>
      <c r="AH104" s="1331"/>
      <c r="AI104" s="1331"/>
      <c r="AJ104" s="1331"/>
      <c r="AK104" s="1331"/>
      <c r="AL104" s="1331"/>
      <c r="AM104" s="1331"/>
      <c r="AN104" s="1331"/>
      <c r="AO104" s="1331"/>
      <c r="AP104" s="1331"/>
      <c r="AQ104" s="1331"/>
      <c r="AR104" s="1532">
        <v>0</v>
      </c>
    </row>
    <row s="5485" customFormat="1" customHeight="1" ht="17.25" hidden="1">
      <c r="A105" s="386"/>
      <c r="C105" s="385"/>
      <c r="D105" s="2201"/>
      <c r="E105" s="2209"/>
      <c r="F105" s="2211"/>
      <c r="G105" s="2209"/>
      <c r="H105" s="2214"/>
      <c r="I105" s="2216"/>
      <c r="J105" s="2219"/>
      <c r="K105" s="2203"/>
      <c r="L105" s="2203"/>
      <c r="M105" s="2203"/>
      <c r="N105" s="2206"/>
      <c r="O105" s="2203"/>
      <c r="P105" s="2009"/>
      <c r="Q105" s="2013"/>
      <c r="R105" s="2013"/>
      <c r="S105" s="394"/>
      <c r="T105" s="394"/>
      <c r="U105" s="394"/>
      <c r="V105" s="394"/>
      <c r="W105" s="2014"/>
      <c r="X105" s="1331"/>
      <c r="Y105" s="1331"/>
      <c r="Z105" s="1331"/>
      <c r="AA105" s="1331"/>
      <c r="AB105" s="1331"/>
      <c r="AC105" s="1331"/>
      <c r="AD105" s="1331"/>
      <c r="AE105" s="1331"/>
      <c r="AF105" s="1331"/>
      <c r="AG105" s="1331"/>
      <c r="AH105" s="1331"/>
      <c r="AI105" s="1331"/>
      <c r="AJ105" s="1331"/>
      <c r="AK105" s="1331"/>
      <c r="AL105" s="1331"/>
      <c r="AM105" s="1331"/>
      <c r="AN105" s="1331"/>
      <c r="AO105" s="1331"/>
      <c r="AP105" s="1331"/>
      <c r="AQ105" s="1331"/>
      <c r="AR105" s="1532">
        <v>0</v>
      </c>
    </row>
    <row s="5485" customFormat="1" customHeight="1" ht="17.25" hidden="1">
      <c r="A106" s="386"/>
      <c r="C106" s="385"/>
      <c r="D106" s="2201"/>
      <c r="E106" s="2209"/>
      <c r="F106" s="2211"/>
      <c r="G106" s="2209"/>
      <c r="H106" s="2214"/>
      <c r="I106" s="2216"/>
      <c r="J106" s="2219"/>
      <c r="K106" s="2203"/>
      <c r="L106" s="2013"/>
      <c r="M106" s="2013"/>
      <c r="N106" s="2013"/>
      <c r="O106" s="2013"/>
      <c r="P106" s="2013"/>
      <c r="Q106" s="2013"/>
      <c r="R106" s="2013"/>
      <c r="S106" s="394"/>
      <c r="T106" s="394"/>
      <c r="U106" s="394"/>
      <c r="V106" s="394"/>
      <c r="W106" s="2014"/>
      <c r="X106" s="1331"/>
      <c r="Y106" s="1331"/>
      <c r="Z106" s="1331"/>
      <c r="AA106" s="1331"/>
      <c r="AB106" s="1331"/>
      <c r="AC106" s="1331"/>
      <c r="AD106" s="1331"/>
      <c r="AE106" s="1331"/>
      <c r="AF106" s="1331"/>
      <c r="AG106" s="1331"/>
      <c r="AH106" s="1331"/>
      <c r="AI106" s="1331"/>
      <c r="AJ106" s="1331"/>
      <c r="AK106" s="1331"/>
      <c r="AL106" s="1331"/>
      <c r="AM106" s="1331"/>
      <c r="AN106" s="1331"/>
      <c r="AO106" s="1331"/>
      <c r="AP106" s="1331"/>
      <c r="AQ106" s="1331"/>
      <c r="AR106" s="1532">
        <v>0</v>
      </c>
    </row>
    <row s="5485" customFormat="1" customHeight="1" ht="17.25" hidden="1">
      <c r="A107" s="386"/>
      <c r="C107" s="385"/>
      <c r="D107" s="2201"/>
      <c r="E107" s="2209"/>
      <c r="F107" s="2212"/>
      <c r="G107" s="2209"/>
      <c r="H107" s="1364"/>
      <c r="I107" s="2011"/>
      <c r="J107" s="2011"/>
      <c r="K107" s="2011"/>
      <c r="L107" s="2011"/>
      <c r="M107" s="2011"/>
      <c r="N107" s="2011"/>
      <c r="O107" s="2011"/>
      <c r="P107" s="2011"/>
      <c r="Q107" s="2011"/>
      <c r="R107" s="2011"/>
      <c r="S107" s="1366"/>
      <c r="T107" s="1366"/>
      <c r="U107" s="1366"/>
      <c r="V107" s="1366"/>
      <c r="W107" s="2012"/>
      <c r="X107" s="1331"/>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2">
        <v>0</v>
      </c>
    </row>
    <row s="5485" customFormat="1" customHeight="1" ht="11.25" hidden="1">
      <c r="A108" s="342"/>
      <c r="B108" s="342"/>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485" customFormat="1" customHeight="1" ht="17.25" hidden="1">
      <c r="A109" s="386"/>
      <c r="C109" s="274"/>
      <c r="D109" s="2200">
        <v>1</v>
      </c>
      <c r="E109" s="2208" t="s">
        <v>268</v>
      </c>
      <c r="F109" s="2210" t="s">
        <v>19</v>
      </c>
      <c r="G109" s="2208"/>
      <c r="H109" s="2213"/>
      <c r="I109" s="2215"/>
      <c r="J109" s="2217"/>
      <c r="K109" s="2202"/>
      <c r="L109" s="2202"/>
      <c r="M109" s="2202"/>
      <c r="N109" s="2204"/>
      <c r="O109" s="2202"/>
      <c r="P109" s="2202"/>
      <c r="Q109" s="2202"/>
      <c r="R109" s="2207"/>
      <c r="S109" s="2202"/>
      <c r="T109" s="1535"/>
      <c r="U109" s="1535"/>
      <c r="V109" s="1537"/>
      <c r="W109" s="1361"/>
      <c r="Y109" s="1332"/>
      <c r="Z109" s="1332"/>
      <c r="AA109" s="1332"/>
      <c r="AB109" s="1332"/>
      <c r="AC109" s="1332" t="s">
        <v>269</v>
      </c>
      <c r="AD109" s="1332" t="s">
        <v>270</v>
      </c>
      <c r="AE109" s="1332" t="s">
        <v>271</v>
      </c>
      <c r="AF109" s="1332" t="s">
        <v>272</v>
      </c>
      <c r="AG109" s="1332"/>
      <c r="AH109" s="1332" t="str">
        <f>IF($E$109=0,"",$E$109)</f>
        <v>Тариф на горячую воду (горячее водоснабжение)</v>
      </c>
      <c r="AI109" s="1332" t="str">
        <f>IF($G$109=0,"",$G$109)</f>
        <v/>
      </c>
      <c r="AJ109" s="1332" t="str">
        <f>IF($J$109=0,"",$J$109)</f>
        <v/>
      </c>
      <c r="AK109" s="1332" t="str">
        <f>IF($K$109="нет","без дифференциации",IF($N$109=0,"",$N$109))</f>
        <v/>
      </c>
      <c r="AL109" s="1332" t="str">
        <f>IF($O$109="нет","без дифференциации",IF($R$109=0,"",$R$109))</f>
        <v/>
      </c>
      <c r="AM109" s="1332" t="str">
        <f>IF($S$109="нет","без дифференциации",IF($V$109=0,"",$V$109))</f>
        <v/>
      </c>
      <c r="AN109" s="1332">
        <f>$I$109</f>
        <v>0</v>
      </c>
      <c r="AO109" s="1332" t="str">
        <f>$I$109&amp;"."&amp;$M$109</f>
        <v>.</v>
      </c>
      <c r="AP109" s="1332" t="str">
        <f>$I$109&amp;"."&amp;$M$109&amp;"."&amp;$Q$109</f>
        <v>..</v>
      </c>
      <c r="AQ109" s="1332" t="str">
        <f>$I$109&amp;"."&amp;$M$109&amp;"."&amp;$Q$109&amp;"."&amp;$U$109</f>
        <v>...</v>
      </c>
      <c r="AR109" s="1532">
        <v>0</v>
      </c>
    </row>
    <row s="5485" customFormat="1" customHeight="1" ht="17.25" hidden="1">
      <c r="A110" s="386"/>
      <c r="C110" s="385"/>
      <c r="D110" s="2200"/>
      <c r="E110" s="2208"/>
      <c r="F110" s="2211"/>
      <c r="G110" s="2208"/>
      <c r="H110" s="2214"/>
      <c r="I110" s="2216"/>
      <c r="J110" s="2218"/>
      <c r="K110" s="2203"/>
      <c r="L110" s="2203"/>
      <c r="M110" s="2203"/>
      <c r="N110" s="2205"/>
      <c r="O110" s="2203"/>
      <c r="P110" s="2203"/>
      <c r="Q110" s="2203"/>
      <c r="R110" s="2206"/>
      <c r="S110" s="2203"/>
      <c r="T110" s="1362"/>
      <c r="U110" s="1362"/>
      <c r="V110" s="1362"/>
      <c r="W110" s="1363"/>
      <c r="Y110" s="1324"/>
      <c r="Z110" s="1324"/>
      <c r="AA110" s="1324"/>
      <c r="AB110" s="1324"/>
      <c r="AC110" s="1324"/>
      <c r="AD110" s="1324"/>
      <c r="AE110" s="1324"/>
      <c r="AF110" s="1324"/>
      <c r="AG110" s="1324"/>
      <c r="AH110" s="1324"/>
      <c r="AI110" s="1324"/>
      <c r="AJ110" s="1324"/>
      <c r="AK110" s="1324"/>
      <c r="AL110" s="1324"/>
      <c r="AM110" s="1324"/>
      <c r="AN110" s="1324"/>
      <c r="AO110" s="1324"/>
      <c r="AP110" s="1324"/>
      <c r="AQ110" s="1324"/>
      <c r="AR110" s="1532">
        <v>0</v>
      </c>
    </row>
    <row s="5485" customFormat="1" customHeight="1" ht="17.25" hidden="1">
      <c r="A111" s="386"/>
      <c r="C111" s="274"/>
      <c r="D111" s="2200"/>
      <c r="E111" s="2208"/>
      <c r="F111" s="2211"/>
      <c r="G111" s="2208"/>
      <c r="H111" s="2214"/>
      <c r="I111" s="2216"/>
      <c r="J111" s="2219"/>
      <c r="K111" s="2203"/>
      <c r="L111" s="2203"/>
      <c r="M111" s="2203"/>
      <c r="N111" s="2206"/>
      <c r="O111" s="2203"/>
      <c r="P111" s="1536"/>
      <c r="Q111" s="1362"/>
      <c r="R111" s="1362"/>
      <c r="S111" s="394"/>
      <c r="T111" s="394"/>
      <c r="U111" s="394"/>
      <c r="V111" s="394"/>
      <c r="W111" s="1363"/>
      <c r="Y111" s="1332"/>
      <c r="Z111" s="1332"/>
      <c r="AA111" s="1332"/>
      <c r="AB111" s="1332"/>
      <c r="AC111" s="1332"/>
      <c r="AD111" s="1332"/>
      <c r="AE111" s="1332"/>
      <c r="AF111" s="1332"/>
      <c r="AG111" s="1332"/>
      <c r="AH111" s="1332"/>
      <c r="AI111" s="1332"/>
      <c r="AJ111" s="1332"/>
      <c r="AK111" s="1332"/>
      <c r="AL111" s="1332"/>
      <c r="AM111" s="1332"/>
      <c r="AN111" s="1332"/>
      <c r="AO111" s="1332"/>
      <c r="AP111" s="1332"/>
      <c r="AQ111" s="1332"/>
      <c r="AR111" s="1532">
        <v>0</v>
      </c>
    </row>
    <row s="5485" customFormat="1" customHeight="1" ht="17.25" hidden="1">
      <c r="A112" s="386"/>
      <c r="C112" s="385"/>
      <c r="D112" s="2200"/>
      <c r="E112" s="2208"/>
      <c r="F112" s="2211"/>
      <c r="G112" s="2208"/>
      <c r="H112" s="2214"/>
      <c r="I112" s="2216"/>
      <c r="J112" s="2219"/>
      <c r="K112" s="2203"/>
      <c r="L112" s="1362"/>
      <c r="M112" s="1362"/>
      <c r="N112" s="1362"/>
      <c r="O112" s="1362"/>
      <c r="P112" s="1362"/>
      <c r="Q112" s="1362"/>
      <c r="R112" s="1362"/>
      <c r="S112" s="394"/>
      <c r="T112" s="394"/>
      <c r="U112" s="394"/>
      <c r="V112" s="394"/>
      <c r="W112" s="1363"/>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485" customFormat="1" customHeight="1" ht="17.25" hidden="1">
      <c r="A113" s="386"/>
      <c r="C113" s="385"/>
      <c r="D113" s="2201"/>
      <c r="E113" s="2209"/>
      <c r="F113" s="2212"/>
      <c r="G113" s="2209"/>
      <c r="H113" s="1364"/>
      <c r="I113" s="1365"/>
      <c r="J113" s="1365"/>
      <c r="K113" s="1365"/>
      <c r="L113" s="1365"/>
      <c r="M113" s="1365"/>
      <c r="N113" s="1365"/>
      <c r="O113" s="1365"/>
      <c r="P113" s="1365"/>
      <c r="Q113" s="1365"/>
      <c r="R113" s="1365"/>
      <c r="S113" s="1366"/>
      <c r="T113" s="1366"/>
      <c r="U113" s="1366"/>
      <c r="V113" s="1366"/>
      <c r="W113" s="1367"/>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485" customFormat="1" customHeight="1" ht="17.25" hidden="1">
      <c r="A114" s="386"/>
      <c r="C114" s="274"/>
      <c r="D114" s="2200">
        <v>2</v>
      </c>
      <c r="E114" s="2208" t="s">
        <v>273</v>
      </c>
      <c r="F114" s="2210" t="s">
        <v>19</v>
      </c>
      <c r="G114" s="2208"/>
      <c r="H114" s="2213"/>
      <c r="I114" s="2215"/>
      <c r="J114" s="2217"/>
      <c r="K114" s="2202"/>
      <c r="L114" s="2202"/>
      <c r="M114" s="2202"/>
      <c r="N114" s="2204"/>
      <c r="O114" s="2202"/>
      <c r="P114" s="2202"/>
      <c r="Q114" s="2202"/>
      <c r="R114" s="2207"/>
      <c r="S114" s="2202"/>
      <c r="T114" s="1535"/>
      <c r="U114" s="1535"/>
      <c r="V114" s="1537"/>
      <c r="W114" s="1361"/>
      <c r="X114" s="1332"/>
      <c r="Y114" s="1332"/>
      <c r="Z114" s="1332"/>
      <c r="AA114" s="1332"/>
      <c r="AB114" s="1332"/>
      <c r="AC114" s="1332" t="s">
        <v>274</v>
      </c>
      <c r="AD114" s="1332" t="s">
        <v>275</v>
      </c>
      <c r="AE114" s="1332" t="s">
        <v>276</v>
      </c>
      <c r="AF114" s="1332" t="s">
        <v>277</v>
      </c>
      <c r="AG114" s="1332"/>
      <c r="AH114" s="1332" t="str">
        <f>IF($E$114=0,"",$E$114)</f>
        <v>Тариф на транспортировку горячей воды</v>
      </c>
      <c r="AI114" s="1332" t="str">
        <f>IF($G$114=0,"",$G$114)</f>
        <v/>
      </c>
      <c r="AJ114" s="1332" t="str">
        <f>IF($J$114=0,"",$J$114)</f>
        <v/>
      </c>
      <c r="AK114" s="1332" t="str">
        <f>IF($K$114="нет","без дифференциации",IF($N$114=0,"",$N$114))</f>
        <v/>
      </c>
      <c r="AL114" s="1332" t="str">
        <f>IF($O$114="нет","без дифференциации",IF($R$114=0,"",$R$114))</f>
        <v/>
      </c>
      <c r="AM114" s="1332" t="str">
        <f>IF($S$114="нет","без дифференциации",IF($V$114=0,"",$V$114))</f>
        <v/>
      </c>
      <c r="AN114" s="1837">
        <f>$I$114</f>
        <v>0</v>
      </c>
      <c r="AO114" s="1332" t="str">
        <f>$I$114&amp;"."&amp;$M$114</f>
        <v>.</v>
      </c>
      <c r="AP114" s="1324" t="str">
        <f>$I$114&amp;"."&amp;$M$114&amp;"."&amp;$Q$114</f>
        <v>..</v>
      </c>
      <c r="AQ114" s="1324" t="str">
        <f>$I$114&amp;"."&amp;$M$114&amp;"."&amp;$Q$114&amp;"."&amp;$U$114</f>
        <v>...</v>
      </c>
      <c r="AR114" s="1532">
        <v>0</v>
      </c>
    </row>
    <row s="5485" customFormat="1" customHeight="1" ht="17.25" hidden="1">
      <c r="A115" s="386"/>
      <c r="C115" s="385"/>
      <c r="D115" s="2200"/>
      <c r="E115" s="2208"/>
      <c r="F115" s="2211"/>
      <c r="G115" s="2208"/>
      <c r="H115" s="2214"/>
      <c r="I115" s="2216"/>
      <c r="J115" s="2218"/>
      <c r="K115" s="2203"/>
      <c r="L115" s="2203"/>
      <c r="M115" s="2203"/>
      <c r="N115" s="2205"/>
      <c r="O115" s="2203"/>
      <c r="P115" s="2203"/>
      <c r="Q115" s="2203"/>
      <c r="R115" s="2206"/>
      <c r="S115" s="2203"/>
      <c r="T115" s="1362"/>
      <c r="U115" s="1362"/>
      <c r="V115" s="1362"/>
      <c r="W115" s="1363"/>
      <c r="X115" s="1324"/>
      <c r="Y115" s="1324"/>
      <c r="Z115" s="1324"/>
      <c r="AA115" s="1324"/>
      <c r="AB115" s="1324"/>
      <c r="AC115" s="1324"/>
      <c r="AD115" s="1324"/>
      <c r="AE115" s="1324"/>
      <c r="AF115" s="1324"/>
      <c r="AG115" s="1324"/>
      <c r="AH115" s="1324"/>
      <c r="AI115" s="1324"/>
      <c r="AJ115" s="1324"/>
      <c r="AK115" s="1324"/>
      <c r="AL115" s="1324"/>
      <c r="AM115" s="1324"/>
      <c r="AN115" s="1324"/>
      <c r="AO115" s="1324"/>
      <c r="AP115" s="1324"/>
      <c r="AQ115" s="1324"/>
      <c r="AR115" s="1532">
        <v>0</v>
      </c>
    </row>
    <row s="5485" customFormat="1" customHeight="1" ht="17.25" hidden="1">
      <c r="A116" s="386"/>
      <c r="C116" s="385"/>
      <c r="D116" s="2201"/>
      <c r="E116" s="2209"/>
      <c r="F116" s="2211"/>
      <c r="G116" s="2209"/>
      <c r="H116" s="2214"/>
      <c r="I116" s="2216"/>
      <c r="J116" s="2219"/>
      <c r="K116" s="2203"/>
      <c r="L116" s="2203"/>
      <c r="M116" s="2203"/>
      <c r="N116" s="2206"/>
      <c r="O116" s="2203"/>
      <c r="P116" s="1536"/>
      <c r="Q116" s="1362"/>
      <c r="R116" s="1362"/>
      <c r="S116" s="394"/>
      <c r="T116" s="394"/>
      <c r="U116" s="394"/>
      <c r="V116" s="394"/>
      <c r="W116" s="1363"/>
      <c r="X116" s="1324"/>
      <c r="Y116" s="1324"/>
      <c r="Z116" s="1324"/>
      <c r="AA116" s="1324"/>
      <c r="AB116" s="1324"/>
      <c r="AC116" s="1324"/>
      <c r="AD116" s="1324"/>
      <c r="AE116" s="1324"/>
      <c r="AF116" s="1324"/>
      <c r="AG116" s="1324"/>
      <c r="AH116" s="1324"/>
      <c r="AI116" s="1324"/>
      <c r="AJ116" s="1324"/>
      <c r="AK116" s="1324"/>
      <c r="AL116" s="1324"/>
      <c r="AM116" s="1324"/>
      <c r="AN116" s="1324"/>
      <c r="AO116" s="1324"/>
      <c r="AP116" s="1324"/>
      <c r="AQ116" s="1324"/>
      <c r="AR116" s="1532">
        <v>0</v>
      </c>
    </row>
    <row s="5485" customFormat="1" customHeight="1" ht="17.25" hidden="1">
      <c r="A117" s="386"/>
      <c r="C117" s="385"/>
      <c r="D117" s="2201"/>
      <c r="E117" s="2209"/>
      <c r="F117" s="2211"/>
      <c r="G117" s="2209"/>
      <c r="H117" s="2214"/>
      <c r="I117" s="2216"/>
      <c r="J117" s="2219"/>
      <c r="K117" s="2203"/>
      <c r="L117" s="1362"/>
      <c r="M117" s="1362"/>
      <c r="N117" s="1362"/>
      <c r="O117" s="1362"/>
      <c r="P117" s="1362"/>
      <c r="Q117" s="1362"/>
      <c r="R117" s="1362"/>
      <c r="S117" s="394"/>
      <c r="T117" s="394"/>
      <c r="U117" s="394"/>
      <c r="V117" s="394"/>
      <c r="W117" s="1363"/>
      <c r="X117" s="1324"/>
      <c r="Y117" s="1324"/>
      <c r="Z117" s="1324"/>
      <c r="AA117" s="1324"/>
      <c r="AB117" s="1324"/>
      <c r="AC117" s="1324"/>
      <c r="AD117" s="1324"/>
      <c r="AE117" s="1324"/>
      <c r="AF117" s="1324"/>
      <c r="AG117" s="1324"/>
      <c r="AH117" s="1324"/>
      <c r="AI117" s="1324"/>
      <c r="AJ117" s="1324"/>
      <c r="AK117" s="1324"/>
      <c r="AL117" s="1324"/>
      <c r="AM117" s="1324"/>
      <c r="AN117" s="1324"/>
      <c r="AO117" s="1324"/>
      <c r="AP117" s="1324"/>
      <c r="AQ117" s="1324"/>
      <c r="AR117" s="1532">
        <v>0</v>
      </c>
    </row>
    <row s="5485" customFormat="1" customHeight="1" ht="17.25" hidden="1">
      <c r="A118" s="386"/>
      <c r="C118" s="385"/>
      <c r="D118" s="2201"/>
      <c r="E118" s="2209"/>
      <c r="F118" s="2212"/>
      <c r="G118" s="2209"/>
      <c r="H118" s="1364"/>
      <c r="I118" s="1365"/>
      <c r="J118" s="1365"/>
      <c r="K118" s="1365"/>
      <c r="L118" s="1365"/>
      <c r="M118" s="1365"/>
      <c r="N118" s="1365"/>
      <c r="O118" s="1365"/>
      <c r="P118" s="1365"/>
      <c r="Q118" s="1365"/>
      <c r="R118" s="1365"/>
      <c r="S118" s="1366"/>
      <c r="T118" s="1366"/>
      <c r="U118" s="1366"/>
      <c r="V118" s="1366"/>
      <c r="W118" s="1367"/>
      <c r="X118" s="1324"/>
      <c r="Y118" s="1324"/>
      <c r="Z118" s="1324"/>
      <c r="AA118" s="1324"/>
      <c r="AB118" s="1324"/>
      <c r="AC118" s="1324"/>
      <c r="AD118" s="1324"/>
      <c r="AE118" s="1324"/>
      <c r="AF118" s="1324"/>
      <c r="AG118" s="1324"/>
      <c r="AH118" s="1324"/>
      <c r="AI118" s="1324"/>
      <c r="AJ118" s="1324"/>
      <c r="AK118" s="1324"/>
      <c r="AL118" s="1324"/>
      <c r="AM118" s="1324"/>
      <c r="AN118" s="1324"/>
      <c r="AO118" s="1324"/>
      <c r="AP118" s="1324"/>
      <c r="AQ118" s="1324"/>
      <c r="AR118" s="1532">
        <v>0</v>
      </c>
    </row>
    <row s="5485" customFormat="1" customHeight="1" ht="17.25" hidden="1">
      <c r="A119" s="386"/>
      <c r="C119" s="274"/>
      <c r="D119" s="2200">
        <v>3</v>
      </c>
      <c r="E119" s="2208" t="s">
        <v>278</v>
      </c>
      <c r="F119" s="2210" t="s">
        <v>19</v>
      </c>
      <c r="G119" s="2208"/>
      <c r="H119" s="2213"/>
      <c r="I119" s="2215"/>
      <c r="J119" s="2217"/>
      <c r="K119" s="2202"/>
      <c r="L119" s="2202"/>
      <c r="M119" s="2202"/>
      <c r="N119" s="2204"/>
      <c r="O119" s="2202"/>
      <c r="P119" s="2202"/>
      <c r="Q119" s="2202"/>
      <c r="R119" s="2207"/>
      <c r="S119" s="2202"/>
      <c r="T119" s="2008"/>
      <c r="U119" s="2008"/>
      <c r="V119" s="2010"/>
      <c r="W119" s="1361"/>
      <c r="X119" s="1332"/>
      <c r="Y119" s="1332"/>
      <c r="Z119" s="1332"/>
      <c r="AA119" s="1332"/>
      <c r="AB119" s="1332"/>
      <c r="AC119" s="1332" t="s">
        <v>279</v>
      </c>
      <c r="AD119" s="1332" t="s">
        <v>280</v>
      </c>
      <c r="AE119" s="1332" t="s">
        <v>281</v>
      </c>
      <c r="AF119" s="1332" t="s">
        <v>282</v>
      </c>
      <c r="AG119" s="1332"/>
      <c r="AH119" s="1332" t="str">
        <f>IF($E$119=0,"",$E$119)</f>
        <v>Тариф на подключение (технологическое присоединение) к централизованной системе горячего водоснабжения</v>
      </c>
      <c r="AI119" s="1332" t="str">
        <f>IF($G$119=0,"",$G$119)</f>
        <v/>
      </c>
      <c r="AJ119" s="1332" t="str">
        <f>IF($J$119=0,"",$J$119)</f>
        <v/>
      </c>
      <c r="AK119" s="1332" t="str">
        <f>IF($K$119="нет","без дифференциации",IF($N$119=0,"",$N$119))</f>
        <v/>
      </c>
      <c r="AL119" s="1332" t="str">
        <f>IF($O$119="нет","без дифференциации",IF($R$119=0,"",$R$119))</f>
        <v/>
      </c>
      <c r="AM119" s="1332" t="str">
        <f>IF($S$119="нет","без дифференциации",IF($V$119=0,"",$V$119))</f>
        <v/>
      </c>
      <c r="AN119" s="1837">
        <f>$I$119</f>
        <v>0</v>
      </c>
      <c r="AO119" s="1332" t="str">
        <f>$I$119&amp;"."&amp;$M$119</f>
        <v>.</v>
      </c>
      <c r="AP119" s="1331" t="str">
        <f>$I$119&amp;"."&amp;$M$119&amp;"."&amp;$Q$119</f>
        <v>..</v>
      </c>
      <c r="AQ119" s="1331" t="str">
        <f>$I$119&amp;"."&amp;$M$119&amp;"."&amp;$Q$119&amp;"."&amp;$U$119</f>
        <v>...</v>
      </c>
      <c r="AR119" s="1532">
        <v>0</v>
      </c>
    </row>
    <row s="5485" customFormat="1" customHeight="1" ht="17.25" hidden="1">
      <c r="A120" s="386"/>
      <c r="C120" s="385"/>
      <c r="D120" s="2200"/>
      <c r="E120" s="2208"/>
      <c r="F120" s="2211"/>
      <c r="G120" s="2208"/>
      <c r="H120" s="2214"/>
      <c r="I120" s="2216"/>
      <c r="J120" s="2218"/>
      <c r="K120" s="2203"/>
      <c r="L120" s="2203"/>
      <c r="M120" s="2203"/>
      <c r="N120" s="2205"/>
      <c r="O120" s="2203"/>
      <c r="P120" s="2203"/>
      <c r="Q120" s="2203"/>
      <c r="R120" s="2206"/>
      <c r="S120" s="2203"/>
      <c r="T120" s="2013"/>
      <c r="U120" s="2013"/>
      <c r="V120" s="2013"/>
      <c r="W120" s="2014"/>
      <c r="X120" s="1331"/>
      <c r="Y120" s="1331"/>
      <c r="Z120" s="1331"/>
      <c r="AA120" s="1331"/>
      <c r="AB120" s="1331"/>
      <c r="AC120" s="1331"/>
      <c r="AD120" s="1331"/>
      <c r="AE120" s="1331"/>
      <c r="AF120" s="1331"/>
      <c r="AG120" s="1331"/>
      <c r="AH120" s="1331"/>
      <c r="AI120" s="1331"/>
      <c r="AJ120" s="1331"/>
      <c r="AK120" s="1331"/>
      <c r="AL120" s="1331"/>
      <c r="AM120" s="1331"/>
      <c r="AN120" s="1331"/>
      <c r="AO120" s="1331"/>
      <c r="AP120" s="1331"/>
      <c r="AQ120" s="1331"/>
      <c r="AR120" s="1532">
        <v>0</v>
      </c>
    </row>
    <row s="5485" customFormat="1" customHeight="1" ht="17.25" hidden="1">
      <c r="A121" s="386"/>
      <c r="C121" s="385"/>
      <c r="D121" s="2201"/>
      <c r="E121" s="2209"/>
      <c r="F121" s="2211"/>
      <c r="G121" s="2209"/>
      <c r="H121" s="2214"/>
      <c r="I121" s="2216"/>
      <c r="J121" s="2219"/>
      <c r="K121" s="2203"/>
      <c r="L121" s="2203"/>
      <c r="M121" s="2203"/>
      <c r="N121" s="2206"/>
      <c r="O121" s="2203"/>
      <c r="P121" s="2009"/>
      <c r="Q121" s="2013"/>
      <c r="R121" s="2013"/>
      <c r="S121" s="394"/>
      <c r="T121" s="394"/>
      <c r="U121" s="394"/>
      <c r="V121" s="394"/>
      <c r="W121" s="2014"/>
      <c r="X121" s="1331"/>
      <c r="Y121" s="1331"/>
      <c r="Z121" s="1331"/>
      <c r="AA121" s="1331"/>
      <c r="AB121" s="1331"/>
      <c r="AC121" s="1331"/>
      <c r="AD121" s="1331"/>
      <c r="AE121" s="1331"/>
      <c r="AF121" s="1331"/>
      <c r="AG121" s="1331"/>
      <c r="AH121" s="1331"/>
      <c r="AI121" s="1331"/>
      <c r="AJ121" s="1331"/>
      <c r="AK121" s="1331"/>
      <c r="AL121" s="1331"/>
      <c r="AM121" s="1331"/>
      <c r="AN121" s="1331"/>
      <c r="AO121" s="1331"/>
      <c r="AP121" s="1331"/>
      <c r="AQ121" s="1331"/>
      <c r="AR121" s="1532">
        <v>0</v>
      </c>
    </row>
    <row s="5485" customFormat="1" customHeight="1" ht="17.25" hidden="1">
      <c r="A122" s="386"/>
      <c r="C122" s="385"/>
      <c r="D122" s="2201"/>
      <c r="E122" s="2209"/>
      <c r="F122" s="2211"/>
      <c r="G122" s="2209"/>
      <c r="H122" s="2214"/>
      <c r="I122" s="2216"/>
      <c r="J122" s="2219"/>
      <c r="K122" s="2203"/>
      <c r="L122" s="2013"/>
      <c r="M122" s="2013"/>
      <c r="N122" s="2013"/>
      <c r="O122" s="2013"/>
      <c r="P122" s="2013"/>
      <c r="Q122" s="2013"/>
      <c r="R122" s="2013"/>
      <c r="S122" s="394"/>
      <c r="T122" s="394"/>
      <c r="U122" s="394"/>
      <c r="V122" s="394"/>
      <c r="W122" s="2014"/>
      <c r="X122" s="1331"/>
      <c r="Y122" s="1331"/>
      <c r="Z122" s="1331"/>
      <c r="AA122" s="1331"/>
      <c r="AB122" s="1331"/>
      <c r="AC122" s="1331"/>
      <c r="AD122" s="1331"/>
      <c r="AE122" s="1331"/>
      <c r="AF122" s="1331"/>
      <c r="AG122" s="1331"/>
      <c r="AH122" s="1331"/>
      <c r="AI122" s="1331"/>
      <c r="AJ122" s="1331"/>
      <c r="AK122" s="1331"/>
      <c r="AL122" s="1331"/>
      <c r="AM122" s="1331"/>
      <c r="AN122" s="1331"/>
      <c r="AO122" s="1331"/>
      <c r="AP122" s="1331"/>
      <c r="AQ122" s="1331"/>
      <c r="AR122" s="1532">
        <v>0</v>
      </c>
    </row>
    <row s="5485" customFormat="1" customHeight="1" ht="17.25" hidden="1">
      <c r="A123" s="386"/>
      <c r="C123" s="385"/>
      <c r="D123" s="2201"/>
      <c r="E123" s="2209"/>
      <c r="F123" s="2212"/>
      <c r="G123" s="2209"/>
      <c r="H123" s="1364"/>
      <c r="I123" s="2011"/>
      <c r="J123" s="2011"/>
      <c r="K123" s="2011"/>
      <c r="L123" s="2011"/>
      <c r="M123" s="2011"/>
      <c r="N123" s="2011"/>
      <c r="O123" s="2011"/>
      <c r="P123" s="2011"/>
      <c r="Q123" s="2011"/>
      <c r="R123" s="2011"/>
      <c r="S123" s="1366"/>
      <c r="T123" s="1366"/>
      <c r="U123" s="1366"/>
      <c r="V123" s="1366"/>
      <c r="W123" s="2012"/>
      <c r="X123" s="1331"/>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2">
        <v>0</v>
      </c>
    </row>
    <row s="5485" customFormat="1" customHeight="1" ht="11.25" hidden="1">
      <c r="A124" s="342"/>
      <c r="B124" s="342"/>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485" customFormat="1" customHeight="1" ht="17.25" hidden="1">
      <c r="A125" s="386"/>
      <c r="C125" s="274"/>
      <c r="D125" s="2200">
        <v>1</v>
      </c>
      <c r="E125" s="2208" t="s">
        <v>283</v>
      </c>
      <c r="F125" s="2210" t="s">
        <v>19</v>
      </c>
      <c r="G125" s="2208"/>
      <c r="H125" s="2213"/>
      <c r="I125" s="2215"/>
      <c r="J125" s="2217"/>
      <c r="K125" s="2202"/>
      <c r="L125" s="2202"/>
      <c r="M125" s="2202"/>
      <c r="N125" s="2204"/>
      <c r="O125" s="2202"/>
      <c r="P125" s="2202"/>
      <c r="Q125" s="2202"/>
      <c r="R125" s="2207"/>
      <c r="S125" s="2202"/>
      <c r="T125" s="1535"/>
      <c r="U125" s="1535"/>
      <c r="V125" s="1537"/>
      <c r="W125" s="1361"/>
      <c r="Y125" s="1332"/>
      <c r="Z125" s="1332"/>
      <c r="AA125" s="1332"/>
      <c r="AB125" s="1332"/>
      <c r="AC125" s="1332" t="s">
        <v>284</v>
      </c>
      <c r="AD125" s="1332" t="s">
        <v>285</v>
      </c>
      <c r="AE125" s="1332" t="s">
        <v>286</v>
      </c>
      <c r="AF125" s="1332" t="s">
        <v>287</v>
      </c>
      <c r="AG125" s="1332"/>
      <c r="AH125" s="1332" t="str">
        <f>IF($E$125=0,"",$E$125)</f>
        <v>Тариф на водоотведение</v>
      </c>
      <c r="AI125" s="1332" t="str">
        <f>IF($G$125=0,"",$G$125)</f>
        <v/>
      </c>
      <c r="AJ125" s="1332" t="str">
        <f>IF($J$125=0,"",$J$125)</f>
        <v/>
      </c>
      <c r="AK125" s="1332" t="str">
        <f>IF($K$125="нет","без дифференциации",IF($N$125=0,"",$N$125))</f>
        <v/>
      </c>
      <c r="AL125" s="1332" t="str">
        <f>IF($O$125="нет","без дифференциации",IF($R$125=0,"",$R$125))</f>
        <v/>
      </c>
      <c r="AM125" s="1332" t="str">
        <f>IF($S$125="нет","без дифференциации",IF($V$125=0,"",$V$125))</f>
        <v/>
      </c>
      <c r="AN125" s="1332">
        <f>$I$125</f>
        <v>0</v>
      </c>
      <c r="AO125" s="1332" t="str">
        <f>$I$125&amp;"."&amp;$M$125</f>
        <v>.</v>
      </c>
      <c r="AP125" s="1332" t="str">
        <f>$I$125&amp;"."&amp;$M$125&amp;"."&amp;$Q$125</f>
        <v>..</v>
      </c>
      <c r="AQ125" s="1332" t="str">
        <f>$I$125&amp;"."&amp;$M$125&amp;"."&amp;$Q$125&amp;"."&amp;$U$125</f>
        <v>...</v>
      </c>
      <c r="AR125" s="1532">
        <v>0</v>
      </c>
    </row>
    <row s="5485" customFormat="1" customHeight="1" ht="17.25" hidden="1">
      <c r="A126" s="386"/>
      <c r="C126" s="385"/>
      <c r="D126" s="2200"/>
      <c r="E126" s="2208"/>
      <c r="F126" s="2211"/>
      <c r="G126" s="2208"/>
      <c r="H126" s="2214"/>
      <c r="I126" s="2216"/>
      <c r="J126" s="2218"/>
      <c r="K126" s="2203"/>
      <c r="L126" s="2203"/>
      <c r="M126" s="2203"/>
      <c r="N126" s="2205"/>
      <c r="O126" s="2203"/>
      <c r="P126" s="2203"/>
      <c r="Q126" s="2203"/>
      <c r="R126" s="2206"/>
      <c r="S126" s="2203"/>
      <c r="T126" s="1362"/>
      <c r="U126" s="1362"/>
      <c r="V126" s="1362"/>
      <c r="W126" s="1363"/>
      <c r="Y126" s="1324"/>
      <c r="Z126" s="1324"/>
      <c r="AA126" s="1324"/>
      <c r="AB126" s="1324"/>
      <c r="AC126" s="1324"/>
      <c r="AD126" s="1324"/>
      <c r="AE126" s="1324"/>
      <c r="AF126" s="1324"/>
      <c r="AG126" s="1324"/>
      <c r="AH126" s="1324"/>
      <c r="AI126" s="1324"/>
      <c r="AJ126" s="1324"/>
      <c r="AK126" s="1324"/>
      <c r="AL126" s="1324"/>
      <c r="AM126" s="1324"/>
      <c r="AN126" s="1324"/>
      <c r="AO126" s="1324"/>
      <c r="AP126" s="1324"/>
      <c r="AQ126" s="1324"/>
      <c r="AR126" s="1532">
        <v>0</v>
      </c>
    </row>
    <row s="5485" customFormat="1" customHeight="1" ht="17.25" hidden="1">
      <c r="A127" s="386"/>
      <c r="C127" s="274"/>
      <c r="D127" s="2200"/>
      <c r="E127" s="2208"/>
      <c r="F127" s="2211"/>
      <c r="G127" s="2208"/>
      <c r="H127" s="2214"/>
      <c r="I127" s="2216"/>
      <c r="J127" s="2219"/>
      <c r="K127" s="2203"/>
      <c r="L127" s="2203"/>
      <c r="M127" s="2203"/>
      <c r="N127" s="2206"/>
      <c r="O127" s="2203"/>
      <c r="P127" s="1536"/>
      <c r="Q127" s="1362"/>
      <c r="R127" s="1362"/>
      <c r="S127" s="394"/>
      <c r="T127" s="394"/>
      <c r="U127" s="394"/>
      <c r="V127" s="394"/>
      <c r="W127" s="1363"/>
      <c r="Y127" s="1332"/>
      <c r="Z127" s="1332"/>
      <c r="AA127" s="1332"/>
      <c r="AB127" s="1332"/>
      <c r="AC127" s="1332"/>
      <c r="AD127" s="1332"/>
      <c r="AE127" s="1332"/>
      <c r="AF127" s="1332"/>
      <c r="AG127" s="1332"/>
      <c r="AH127" s="1332"/>
      <c r="AI127" s="1332"/>
      <c r="AJ127" s="1332"/>
      <c r="AK127" s="1332"/>
      <c r="AL127" s="1332"/>
      <c r="AM127" s="1332"/>
      <c r="AN127" s="1332"/>
      <c r="AO127" s="1332"/>
      <c r="AP127" s="1332"/>
      <c r="AQ127" s="1332"/>
      <c r="AR127" s="1532">
        <v>0</v>
      </c>
    </row>
    <row s="5485" customFormat="1" customHeight="1" ht="17.25" hidden="1">
      <c r="A128" s="386"/>
      <c r="C128" s="385"/>
      <c r="D128" s="2200"/>
      <c r="E128" s="2208"/>
      <c r="F128" s="2211"/>
      <c r="G128" s="2208"/>
      <c r="H128" s="2214"/>
      <c r="I128" s="2216"/>
      <c r="J128" s="2219"/>
      <c r="K128" s="2203"/>
      <c r="L128" s="1362"/>
      <c r="M128" s="1362"/>
      <c r="N128" s="1362"/>
      <c r="O128" s="1362"/>
      <c r="P128" s="1362"/>
      <c r="Q128" s="1362"/>
      <c r="R128" s="1362"/>
      <c r="S128" s="394"/>
      <c r="T128" s="394"/>
      <c r="U128" s="394"/>
      <c r="V128" s="394"/>
      <c r="W128" s="1363"/>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485" customFormat="1" customHeight="1" ht="17.25" hidden="1">
      <c r="A129" s="386"/>
      <c r="C129" s="385"/>
      <c r="D129" s="2201"/>
      <c r="E129" s="2209"/>
      <c r="F129" s="2212"/>
      <c r="G129" s="2209"/>
      <c r="H129" s="1364"/>
      <c r="I129" s="1365"/>
      <c r="J129" s="1365"/>
      <c r="K129" s="1365"/>
      <c r="L129" s="1365"/>
      <c r="M129" s="1365"/>
      <c r="N129" s="1365"/>
      <c r="O129" s="1365"/>
      <c r="P129" s="1365"/>
      <c r="Q129" s="1365"/>
      <c r="R129" s="1365"/>
      <c r="S129" s="1366"/>
      <c r="T129" s="1366"/>
      <c r="U129" s="1366"/>
      <c r="V129" s="1366"/>
      <c r="W129" s="1367"/>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485" customFormat="1" customHeight="1" ht="17.25" hidden="1">
      <c r="A130" s="386"/>
      <c r="C130" s="274"/>
      <c r="D130" s="2200">
        <v>2</v>
      </c>
      <c r="E130" s="2208" t="s">
        <v>288</v>
      </c>
      <c r="F130" s="2210" t="s">
        <v>19</v>
      </c>
      <c r="G130" s="2208"/>
      <c r="H130" s="2213"/>
      <c r="I130" s="2215"/>
      <c r="J130" s="2217"/>
      <c r="K130" s="2202"/>
      <c r="L130" s="2202"/>
      <c r="M130" s="2202"/>
      <c r="N130" s="2204"/>
      <c r="O130" s="2202"/>
      <c r="P130" s="2202"/>
      <c r="Q130" s="2202"/>
      <c r="R130" s="2207"/>
      <c r="S130" s="2202"/>
      <c r="T130" s="1535"/>
      <c r="U130" s="1535"/>
      <c r="V130" s="1537"/>
      <c r="W130" s="1361"/>
      <c r="X130" s="1332"/>
      <c r="Y130" s="1332"/>
      <c r="Z130" s="1332"/>
      <c r="AA130" s="1332"/>
      <c r="AB130" s="1332"/>
      <c r="AC130" s="1332" t="s">
        <v>289</v>
      </c>
      <c r="AD130" s="1332" t="s">
        <v>290</v>
      </c>
      <c r="AE130" s="1332" t="s">
        <v>291</v>
      </c>
      <c r="AF130" s="1332" t="s">
        <v>292</v>
      </c>
      <c r="AG130" s="1332"/>
      <c r="AH130" s="1332" t="str">
        <f>IF($E$130=0,"",$E$130)</f>
        <v>Тариф на транспортировку сточных вод</v>
      </c>
      <c r="AI130" s="1332" t="str">
        <f>IF($G$130=0,"",$G$130)</f>
        <v/>
      </c>
      <c r="AJ130" s="1332" t="str">
        <f>IF($J$130=0,"",$J$130)</f>
        <v/>
      </c>
      <c r="AK130" s="1332" t="str">
        <f>IF($K$130="нет","без дифференциации",IF($N$130=0,"",$N$130))</f>
        <v/>
      </c>
      <c r="AL130" s="1332" t="str">
        <f>IF($O$130="нет","без дифференциации",IF($R$130=0,"",$R$130))</f>
        <v/>
      </c>
      <c r="AM130" s="1332" t="str">
        <f>IF($S$130="нет","без дифференциации",IF($V$130=0,"",$V$130))</f>
        <v/>
      </c>
      <c r="AN130" s="1837">
        <f>$I$130</f>
        <v>0</v>
      </c>
      <c r="AO130" s="1332" t="str">
        <f>$I$130&amp;"."&amp;$M$130</f>
        <v>.</v>
      </c>
      <c r="AP130" s="1324" t="str">
        <f>$I$130&amp;"."&amp;$M$130&amp;"."&amp;$Q$130</f>
        <v>..</v>
      </c>
      <c r="AQ130" s="1324" t="str">
        <f>$I$130&amp;"."&amp;$M$130&amp;"."&amp;$Q$130&amp;"."&amp;$U$130</f>
        <v>...</v>
      </c>
      <c r="AR130" s="1532">
        <v>0</v>
      </c>
    </row>
    <row s="5485" customFormat="1" customHeight="1" ht="17.25" hidden="1">
      <c r="A131" s="386"/>
      <c r="C131" s="385"/>
      <c r="D131" s="2200"/>
      <c r="E131" s="2208"/>
      <c r="F131" s="2211"/>
      <c r="G131" s="2208"/>
      <c r="H131" s="2214"/>
      <c r="I131" s="2216"/>
      <c r="J131" s="2218"/>
      <c r="K131" s="2203"/>
      <c r="L131" s="2203"/>
      <c r="M131" s="2203"/>
      <c r="N131" s="2205"/>
      <c r="O131" s="2203"/>
      <c r="P131" s="2203"/>
      <c r="Q131" s="2203"/>
      <c r="R131" s="2206"/>
      <c r="S131" s="2203"/>
      <c r="T131" s="1362"/>
      <c r="U131" s="1362"/>
      <c r="V131" s="1362"/>
      <c r="W131" s="1363"/>
      <c r="X131" s="1324"/>
      <c r="Y131" s="1324"/>
      <c r="Z131" s="1324"/>
      <c r="AA131" s="1324"/>
      <c r="AB131" s="1324"/>
      <c r="AC131" s="1324"/>
      <c r="AD131" s="1324"/>
      <c r="AE131" s="1324"/>
      <c r="AF131" s="1324"/>
      <c r="AG131" s="1324"/>
      <c r="AH131" s="1324"/>
      <c r="AI131" s="1324"/>
      <c r="AJ131" s="1324"/>
      <c r="AK131" s="1324"/>
      <c r="AL131" s="1324"/>
      <c r="AM131" s="1324"/>
      <c r="AN131" s="1324"/>
      <c r="AO131" s="1324"/>
      <c r="AP131" s="1324"/>
      <c r="AQ131" s="1324"/>
      <c r="AR131" s="1532">
        <v>0</v>
      </c>
    </row>
    <row s="5485" customFormat="1" customHeight="1" ht="17.25" hidden="1">
      <c r="A132" s="386"/>
      <c r="C132" s="385"/>
      <c r="D132" s="2201"/>
      <c r="E132" s="2209"/>
      <c r="F132" s="2211"/>
      <c r="G132" s="2209"/>
      <c r="H132" s="2214"/>
      <c r="I132" s="2216"/>
      <c r="J132" s="2219"/>
      <c r="K132" s="2203"/>
      <c r="L132" s="2203"/>
      <c r="M132" s="2203"/>
      <c r="N132" s="2206"/>
      <c r="O132" s="2203"/>
      <c r="P132" s="1536"/>
      <c r="Q132" s="1362"/>
      <c r="R132" s="1362"/>
      <c r="S132" s="394"/>
      <c r="T132" s="394"/>
      <c r="U132" s="394"/>
      <c r="V132" s="394"/>
      <c r="W132" s="1363"/>
      <c r="X132" s="1324"/>
      <c r="Y132" s="1324"/>
      <c r="Z132" s="1324"/>
      <c r="AA132" s="1324"/>
      <c r="AB132" s="1324"/>
      <c r="AC132" s="1324"/>
      <c r="AD132" s="1324"/>
      <c r="AE132" s="1324"/>
      <c r="AF132" s="1324"/>
      <c r="AG132" s="1324"/>
      <c r="AH132" s="1324"/>
      <c r="AI132" s="1324"/>
      <c r="AJ132" s="1324"/>
      <c r="AK132" s="1324"/>
      <c r="AL132" s="1324"/>
      <c r="AM132" s="1324"/>
      <c r="AN132" s="1324"/>
      <c r="AO132" s="1324"/>
      <c r="AP132" s="1324"/>
      <c r="AQ132" s="1324"/>
      <c r="AR132" s="1532">
        <v>0</v>
      </c>
    </row>
    <row s="5485" customFormat="1" customHeight="1" ht="17.25" hidden="1">
      <c r="A133" s="386"/>
      <c r="C133" s="385"/>
      <c r="D133" s="2201"/>
      <c r="E133" s="2209"/>
      <c r="F133" s="2211"/>
      <c r="G133" s="2209"/>
      <c r="H133" s="2214"/>
      <c r="I133" s="2216"/>
      <c r="J133" s="2219"/>
      <c r="K133" s="2203"/>
      <c r="L133" s="1362"/>
      <c r="M133" s="1362"/>
      <c r="N133" s="1362"/>
      <c r="O133" s="1362"/>
      <c r="P133" s="1362"/>
      <c r="Q133" s="1362"/>
      <c r="R133" s="1362"/>
      <c r="S133" s="394"/>
      <c r="T133" s="394"/>
      <c r="U133" s="394"/>
      <c r="V133" s="394"/>
      <c r="W133" s="1363"/>
      <c r="X133" s="1324"/>
      <c r="Y133" s="1324"/>
      <c r="Z133" s="1324"/>
      <c r="AA133" s="1324"/>
      <c r="AB133" s="1324"/>
      <c r="AC133" s="1324"/>
      <c r="AD133" s="1324"/>
      <c r="AE133" s="1324"/>
      <c r="AF133" s="1324"/>
      <c r="AG133" s="1324"/>
      <c r="AH133" s="1324"/>
      <c r="AI133" s="1324"/>
      <c r="AJ133" s="1324"/>
      <c r="AK133" s="1324"/>
      <c r="AL133" s="1324"/>
      <c r="AM133" s="1324"/>
      <c r="AN133" s="1324"/>
      <c r="AO133" s="1324"/>
      <c r="AP133" s="1324"/>
      <c r="AQ133" s="1324"/>
      <c r="AR133" s="1532">
        <v>0</v>
      </c>
    </row>
    <row s="5485" customFormat="1" customHeight="1" ht="17.25" hidden="1">
      <c r="A134" s="386"/>
      <c r="C134" s="385"/>
      <c r="D134" s="2201"/>
      <c r="E134" s="2209"/>
      <c r="F134" s="2212"/>
      <c r="G134" s="2209"/>
      <c r="H134" s="1364"/>
      <c r="I134" s="1365"/>
      <c r="J134" s="1365"/>
      <c r="K134" s="1365"/>
      <c r="L134" s="1365"/>
      <c r="M134" s="1365"/>
      <c r="N134" s="1365"/>
      <c r="O134" s="1365"/>
      <c r="P134" s="1365"/>
      <c r="Q134" s="1365"/>
      <c r="R134" s="1365"/>
      <c r="S134" s="1366"/>
      <c r="T134" s="1366"/>
      <c r="U134" s="1366"/>
      <c r="V134" s="1366"/>
      <c r="W134" s="1367"/>
      <c r="X134" s="1324"/>
      <c r="Y134" s="1324"/>
      <c r="Z134" s="1324"/>
      <c r="AA134" s="1324"/>
      <c r="AB134" s="1324"/>
      <c r="AC134" s="1324"/>
      <c r="AD134" s="1324"/>
      <c r="AE134" s="1324"/>
      <c r="AF134" s="1324"/>
      <c r="AG134" s="1324"/>
      <c r="AH134" s="1324"/>
      <c r="AI134" s="1324"/>
      <c r="AJ134" s="1324"/>
      <c r="AK134" s="1324"/>
      <c r="AL134" s="1324"/>
      <c r="AM134" s="1324"/>
      <c r="AN134" s="1324"/>
      <c r="AO134" s="1324"/>
      <c r="AP134" s="1324"/>
      <c r="AQ134" s="1324"/>
      <c r="AR134" s="1532">
        <v>0</v>
      </c>
    </row>
    <row s="5485" customFormat="1" customHeight="1" ht="17.25" hidden="1">
      <c r="A135" s="386"/>
      <c r="C135" s="274"/>
      <c r="D135" s="2200">
        <v>3</v>
      </c>
      <c r="E135" s="2208" t="s">
        <v>293</v>
      </c>
      <c r="F135" s="2210" t="s">
        <v>19</v>
      </c>
      <c r="G135" s="2208"/>
      <c r="H135" s="2213"/>
      <c r="I135" s="2215"/>
      <c r="J135" s="2217"/>
      <c r="K135" s="2202"/>
      <c r="L135" s="2202"/>
      <c r="M135" s="2202"/>
      <c r="N135" s="2204"/>
      <c r="O135" s="2202"/>
      <c r="P135" s="2202"/>
      <c r="Q135" s="2202"/>
      <c r="R135" s="2207"/>
      <c r="S135" s="2202"/>
      <c r="T135" s="2008"/>
      <c r="U135" s="2008"/>
      <c r="V135" s="2010"/>
      <c r="W135" s="1361"/>
      <c r="X135" s="1332"/>
      <c r="Y135" s="1332"/>
      <c r="Z135" s="1332"/>
      <c r="AA135" s="1332"/>
      <c r="AB135" s="1332"/>
      <c r="AC135" s="1332" t="s">
        <v>294</v>
      </c>
      <c r="AD135" s="1332" t="s">
        <v>295</v>
      </c>
      <c r="AE135" s="1332" t="s">
        <v>296</v>
      </c>
      <c r="AF135" s="1332" t="s">
        <v>297</v>
      </c>
      <c r="AG135" s="1332"/>
      <c r="AH135" s="1332" t="str">
        <f>IF($E$135=0,"",$E$135)</f>
        <v>Тариф на подключение (технологическое присоединение) к централизованной системе водоотведения</v>
      </c>
      <c r="AI135" s="1332" t="str">
        <f>IF($G$135=0,"",$G$135)</f>
        <v/>
      </c>
      <c r="AJ135" s="1332" t="str">
        <f>IF($J$135=0,"",$J$135)</f>
        <v/>
      </c>
      <c r="AK135" s="1332" t="str">
        <f>IF($K$135="нет","без дифференциации",IF($N$135=0,"",$N$135))</f>
        <v/>
      </c>
      <c r="AL135" s="1332" t="str">
        <f>IF($O$135="нет","без дифференциации",IF($R$135=0,"",$R$135))</f>
        <v/>
      </c>
      <c r="AM135" s="1332" t="str">
        <f>IF($S$135="нет","без дифференциации",IF($V$135=0,"",$V$135))</f>
        <v/>
      </c>
      <c r="AN135" s="1837">
        <f>$I$135</f>
        <v>0</v>
      </c>
      <c r="AO135" s="1332" t="str">
        <f>$I$135&amp;"."&amp;$M$135</f>
        <v>.</v>
      </c>
      <c r="AP135" s="1331" t="str">
        <f>$I$135&amp;"."&amp;$M$135&amp;"."&amp;$Q$135</f>
        <v>..</v>
      </c>
      <c r="AQ135" s="1331" t="str">
        <f>$I$135&amp;"."&amp;$M$135&amp;"."&amp;$Q$135&amp;"."&amp;$U$135</f>
        <v>...</v>
      </c>
      <c r="AR135" s="1532">
        <v>0</v>
      </c>
    </row>
    <row s="5485" customFormat="1" customHeight="1" ht="17.25" hidden="1">
      <c r="A136" s="386"/>
      <c r="C136" s="385"/>
      <c r="D136" s="2200"/>
      <c r="E136" s="2208"/>
      <c r="F136" s="2211"/>
      <c r="G136" s="2208"/>
      <c r="H136" s="2214"/>
      <c r="I136" s="2216"/>
      <c r="J136" s="2218"/>
      <c r="K136" s="2203"/>
      <c r="L136" s="2203"/>
      <c r="M136" s="2203"/>
      <c r="N136" s="2205"/>
      <c r="O136" s="2203"/>
      <c r="P136" s="2203"/>
      <c r="Q136" s="2203"/>
      <c r="R136" s="2206"/>
      <c r="S136" s="2203"/>
      <c r="T136" s="2013"/>
      <c r="U136" s="2013"/>
      <c r="V136" s="2013"/>
      <c r="W136" s="2014"/>
      <c r="X136" s="1331"/>
      <c r="Y136" s="1331"/>
      <c r="Z136" s="1331"/>
      <c r="AA136" s="1331"/>
      <c r="AB136" s="1331"/>
      <c r="AC136" s="1331"/>
      <c r="AD136" s="1331"/>
      <c r="AE136" s="1331"/>
      <c r="AF136" s="1331"/>
      <c r="AG136" s="1331"/>
      <c r="AH136" s="1331"/>
      <c r="AI136" s="1331"/>
      <c r="AJ136" s="1331"/>
      <c r="AK136" s="1331"/>
      <c r="AL136" s="1331"/>
      <c r="AM136" s="1331"/>
      <c r="AN136" s="1331"/>
      <c r="AO136" s="1331"/>
      <c r="AP136" s="1331"/>
      <c r="AQ136" s="1331"/>
      <c r="AR136" s="1532">
        <v>0</v>
      </c>
    </row>
    <row s="5485" customFormat="1" customHeight="1" ht="17.25" hidden="1">
      <c r="A137" s="386"/>
      <c r="C137" s="385"/>
      <c r="D137" s="2201"/>
      <c r="E137" s="2209"/>
      <c r="F137" s="2211"/>
      <c r="G137" s="2209"/>
      <c r="H137" s="2214"/>
      <c r="I137" s="2216"/>
      <c r="J137" s="2219"/>
      <c r="K137" s="2203"/>
      <c r="L137" s="2203"/>
      <c r="M137" s="2203"/>
      <c r="N137" s="2206"/>
      <c r="O137" s="2203"/>
      <c r="P137" s="2009"/>
      <c r="Q137" s="2013"/>
      <c r="R137" s="2013"/>
      <c r="S137" s="394"/>
      <c r="T137" s="394"/>
      <c r="U137" s="394"/>
      <c r="V137" s="394"/>
      <c r="W137" s="2014"/>
      <c r="X137" s="1331"/>
      <c r="Y137" s="1331"/>
      <c r="Z137" s="1331"/>
      <c r="AA137" s="1331"/>
      <c r="AB137" s="1331"/>
      <c r="AC137" s="1331"/>
      <c r="AD137" s="1331"/>
      <c r="AE137" s="1331"/>
      <c r="AF137" s="1331"/>
      <c r="AG137" s="1331"/>
      <c r="AH137" s="1331"/>
      <c r="AI137" s="1331"/>
      <c r="AJ137" s="1331"/>
      <c r="AK137" s="1331"/>
      <c r="AL137" s="1331"/>
      <c r="AM137" s="1331"/>
      <c r="AN137" s="1331"/>
      <c r="AO137" s="1331"/>
      <c r="AP137" s="1331"/>
      <c r="AQ137" s="1331"/>
      <c r="AR137" s="1532">
        <v>0</v>
      </c>
    </row>
    <row s="5485" customFormat="1" customHeight="1" ht="17.25" hidden="1">
      <c r="A138" s="386"/>
      <c r="C138" s="385"/>
      <c r="D138" s="2201"/>
      <c r="E138" s="2209"/>
      <c r="F138" s="2211"/>
      <c r="G138" s="2209"/>
      <c r="H138" s="2214"/>
      <c r="I138" s="2216"/>
      <c r="J138" s="2219"/>
      <c r="K138" s="2203"/>
      <c r="L138" s="2013"/>
      <c r="M138" s="2013"/>
      <c r="N138" s="2013"/>
      <c r="O138" s="2013"/>
      <c r="P138" s="2013"/>
      <c r="Q138" s="2013"/>
      <c r="R138" s="2013"/>
      <c r="S138" s="394"/>
      <c r="T138" s="394"/>
      <c r="U138" s="394"/>
      <c r="V138" s="394"/>
      <c r="W138" s="2014"/>
      <c r="X138" s="1331"/>
      <c r="Y138" s="1331"/>
      <c r="Z138" s="1331"/>
      <c r="AA138" s="1331"/>
      <c r="AB138" s="1331"/>
      <c r="AC138" s="1331"/>
      <c r="AD138" s="1331"/>
      <c r="AE138" s="1331"/>
      <c r="AF138" s="1331"/>
      <c r="AG138" s="1331"/>
      <c r="AH138" s="1331"/>
      <c r="AI138" s="1331"/>
      <c r="AJ138" s="1331"/>
      <c r="AK138" s="1331"/>
      <c r="AL138" s="1331"/>
      <c r="AM138" s="1331"/>
      <c r="AN138" s="1331"/>
      <c r="AO138" s="1331"/>
      <c r="AP138" s="1331"/>
      <c r="AQ138" s="1331"/>
      <c r="AR138" s="1532">
        <v>0</v>
      </c>
    </row>
    <row s="5485" customFormat="1" customHeight="1" ht="17.25" hidden="1">
      <c r="A139" s="386"/>
      <c r="C139" s="385"/>
      <c r="D139" s="2201"/>
      <c r="E139" s="2209"/>
      <c r="F139" s="2212"/>
      <c r="G139" s="2209"/>
      <c r="H139" s="1364"/>
      <c r="I139" s="2011"/>
      <c r="J139" s="2011"/>
      <c r="K139" s="2011"/>
      <c r="L139" s="2011"/>
      <c r="M139" s="2011"/>
      <c r="N139" s="2011"/>
      <c r="O139" s="2011"/>
      <c r="P139" s="2011"/>
      <c r="Q139" s="2011"/>
      <c r="R139" s="2011"/>
      <c r="S139" s="1366"/>
      <c r="T139" s="1366"/>
      <c r="U139" s="1366"/>
      <c r="V139" s="1366"/>
      <c r="W139" s="2012"/>
      <c r="X139" s="1331"/>
      <c r="Y139" s="1331"/>
      <c r="Z139" s="1331"/>
      <c r="AA139" s="1331"/>
      <c r="AB139" s="1331"/>
      <c r="AC139" s="1331"/>
      <c r="AD139" s="1331"/>
      <c r="AE139" s="1331"/>
      <c r="AF139" s="1331"/>
      <c r="AG139" s="1331"/>
      <c r="AH139" s="1331"/>
      <c r="AI139" s="1331"/>
      <c r="AJ139" s="1331"/>
      <c r="AK139" s="1331"/>
      <c r="AL139" s="1331"/>
      <c r="AM139" s="1331"/>
      <c r="AN139" s="1331"/>
      <c r="AO139" s="1331"/>
      <c r="AP139" s="1331"/>
      <c r="AQ139" s="1331"/>
      <c r="AR139" s="1532">
        <v>0</v>
      </c>
    </row>
    <row customHeight="1" ht="11.549999999999999">
      <c r="AR140" s="169">
        <v>11</v>
      </c>
    </row>
    <row customHeight="1" ht="11.549999999999999">
      <c r="AR141" s="169">
        <v>11</v>
      </c>
    </row>
    <row customHeight="1" ht="11.549999999999999">
      <c r="AR142" s="169">
        <v>11</v>
      </c>
    </row>
    <row customHeight="1" ht="11.549999999999999">
      <c r="E143" s="1415"/>
      <c r="AR143" s="169">
        <v>11</v>
      </c>
    </row>
    <row customHeight="1" ht="11.549999999999999">
      <c r="E144" s="1415"/>
      <c r="AR144" s="169">
        <v>11</v>
      </c>
    </row>
    <row customHeight="1" ht="11.549999999999999">
      <c r="E145" s="1415"/>
      <c r="AR145" s="169">
        <v>11</v>
      </c>
    </row>
    <row customHeight="1" ht="11.549999999999999">
      <c r="E146" s="1415"/>
      <c r="AR146" s="169">
        <v>11</v>
      </c>
    </row>
    <row customHeight="1" ht="11.549999999999999">
      <c r="E147" s="1415"/>
      <c r="AR147" s="169">
        <v>11</v>
      </c>
    </row>
    <row customHeight="1" ht="11.549999999999999">
      <c r="E148" s="1415"/>
      <c r="AR148" s="169">
        <v>11</v>
      </c>
    </row>
    <row customHeight="1" ht="11.549999999999999">
      <c r="E149" s="1415"/>
      <c r="AR149" s="169">
        <v>11</v>
      </c>
    </row>
    <row customHeight="1" ht="11.25" hidden="1">
      <c r="A150" s="218" t="s">
        <v>85</v>
      </c>
      <c r="B150" s="218">
        <v>0</v>
      </c>
      <c r="C150" s="169">
        <v>3</v>
      </c>
      <c r="D150" s="169">
        <v>6</v>
      </c>
      <c r="E150" s="169">
        <v>42</v>
      </c>
      <c r="F150" s="1348">
        <v>14</v>
      </c>
      <c r="G150" s="169">
        <v>42</v>
      </c>
      <c r="H150" s="169">
        <v>3</v>
      </c>
      <c r="I150" s="169">
        <v>5</v>
      </c>
      <c r="J150" s="169">
        <v>47</v>
      </c>
      <c r="K150" s="169">
        <v>3</v>
      </c>
      <c r="L150" s="169">
        <v>3</v>
      </c>
      <c r="M150" s="169">
        <v>5</v>
      </c>
      <c r="N150" s="169">
        <v>28</v>
      </c>
      <c r="O150" s="169">
        <v>3</v>
      </c>
      <c r="P150" s="169">
        <v>3</v>
      </c>
      <c r="Q150" s="169">
        <v>5</v>
      </c>
      <c r="R150" s="169">
        <v>34</v>
      </c>
      <c r="S150" s="347">
        <v>0</v>
      </c>
      <c r="T150" s="347">
        <v>0</v>
      </c>
      <c r="U150" s="347">
        <v>0</v>
      </c>
      <c r="V150" s="347">
        <v>0</v>
      </c>
      <c r="W150" s="169">
        <v>30</v>
      </c>
      <c r="X150" s="169">
        <v>3</v>
      </c>
      <c r="Y150" s="1324">
        <v>0</v>
      </c>
      <c r="Z150" s="1324">
        <v>0</v>
      </c>
      <c r="AA150" s="1324">
        <v>0</v>
      </c>
      <c r="AB150" s="1324">
        <v>0</v>
      </c>
      <c r="AC150" s="1324">
        <v>0</v>
      </c>
      <c r="AD150" s="1324">
        <v>0</v>
      </c>
      <c r="AE150" s="1324">
        <v>0</v>
      </c>
      <c r="AF150" s="1324">
        <v>0</v>
      </c>
      <c r="AG150" s="1324">
        <v>0</v>
      </c>
      <c r="AH150" s="1324">
        <v>0</v>
      </c>
      <c r="AI150" s="1324">
        <v>0</v>
      </c>
      <c r="AJ150" s="1324">
        <v>0</v>
      </c>
      <c r="AK150" s="1324">
        <v>0</v>
      </c>
      <c r="AL150" s="1324">
        <v>0</v>
      </c>
      <c r="AM150" s="1324">
        <v>0</v>
      </c>
      <c r="AN150" s="1324">
        <v>0</v>
      </c>
      <c r="AO150" s="1324">
        <v>0</v>
      </c>
      <c r="AP150" s="1324">
        <v>0</v>
      </c>
      <c r="AQ150" s="1324">
        <v>0</v>
      </c>
      <c r="AR150" s="169">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3:G41"/>
    <mergeCell ref="S42:S43"/>
    <mergeCell ref="S47:S48"/>
    <mergeCell ref="E42:E46"/>
    <mergeCell ref="F42:F46"/>
    <mergeCell ref="H42:H45"/>
    <mergeCell ref="P42:P43"/>
    <mergeCell ref="Q42:Q43"/>
    <mergeCell ref="R42:R43"/>
    <mergeCell ref="D42:D46"/>
    <mergeCell ref="D52:D56"/>
    <mergeCell ref="E52:E56"/>
    <mergeCell ref="F52:F56"/>
    <mergeCell ref="G52:G56"/>
    <mergeCell ref="H52:H55"/>
    <mergeCell ref="I52:I55"/>
    <mergeCell ref="J52:J55"/>
    <mergeCell ref="K52:K55"/>
    <mergeCell ref="L52:L54"/>
    <mergeCell ref="D33:D41"/>
    <mergeCell ref="E33:E41"/>
    <mergeCell ref="F33:F41"/>
    <mergeCell ref="P47:P48"/>
    <mergeCell ref="O42:O44"/>
    <mergeCell ref="Q47:Q48"/>
    <mergeCell ref="R47:R48"/>
    <mergeCell ref="O47:O49"/>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G18:G22"/>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H37:H40"/>
    <mergeCell ref="I37:I40"/>
    <mergeCell ref="J37:J40"/>
    <mergeCell ref="K37:K40"/>
    <mergeCell ref="L37:L39"/>
    <mergeCell ref="M37:M39"/>
    <mergeCell ref="N37:N39"/>
    <mergeCell ref="S37:S38"/>
    <mergeCell ref="O37:O39"/>
    <mergeCell ref="P37:P38"/>
    <mergeCell ref="Q37:Q38"/>
    <mergeCell ref="R37:R38"/>
  </mergeCells>
  <dataValidations count="78">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V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O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K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36 G4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47:N49 N42:N44 N83:N85 N98:N100 N88:N90 N93:N95 N57:N59 N109:N111 N114:N116 N130:N132 N125:N127 N62:N64 N67:N69 N103:N10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42:J43 J52:J53 R52:R53 V52:W52 J47:J48 R42:R43 R47:R48 V42:W42 V47:W47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2:K43 K52:K53 O52:O53 S52:S53 K47:K48 O42:O43 O47:O48 S42:S43 S47:S48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36 F41:F71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DAE37-6FA6-F476-5C03-69F1748E47C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662" width="9.140625" hidden="1"/>
    <col min="3" max="4" style="5662" width="3.00390625" customWidth="1"/>
    <col min="5" max="6" style="5662" width="15.00390625" customWidth="1"/>
    <col min="7" max="7" style="5662" width="11.57421875" customWidth="1"/>
    <col min="8" max="9" style="5662" width="3.00390625" customWidth="1"/>
    <col min="10" max="10" style="5662" width="12.00390625" customWidth="1"/>
    <col min="11" max="11" style="5662" width="0.28125" customWidth="1"/>
    <col min="12" max="13" style="5662" width="10.00390625" customWidth="1"/>
    <col min="14" max="15" style="5662" width="3.00390625" customWidth="1"/>
    <col min="16" max="16" style="5662" width="19.00390625" customWidth="1"/>
    <col min="17" max="17" style="5662" width="0.28125" customWidth="1"/>
    <col min="18" max="19" style="5662" width="10.00390625" customWidth="1"/>
    <col min="20" max="21" style="5662" width="3.00390625" customWidth="1"/>
    <col min="22" max="22" style="5662" width="25.00390625" customWidth="1"/>
    <col min="23" max="23" style="5662" width="0.28125" customWidth="1"/>
    <col min="24" max="25" style="5662" width="10.00390625" customWidth="1"/>
    <col min="26" max="27" style="5662" width="3.00390625" customWidth="1"/>
    <col min="28" max="28" style="5662" width="16.00390625" customWidth="1"/>
    <col min="29" max="29" style="5662" width="0.28125" customWidth="1"/>
    <col min="30" max="31" style="5662" width="10.00390625" customWidth="1"/>
    <col min="32" max="33" style="5662" width="3.00390625" customWidth="1"/>
    <col min="34" max="34" style="5662" width="8.00390625" customWidth="1"/>
    <col min="35" max="35" style="5662" width="21.00390625" customWidth="1"/>
    <col min="36" max="36" style="5662" width="8.00390625" customWidth="1"/>
    <col min="37" max="37" style="5207" width="8.00390625" customWidth="1"/>
    <col min="38" max="64" style="5662" width="8.00390625" customWidth="1"/>
    <col min="65" max="65" style="5662" width="9.140625" hidden="1"/>
  </cols>
  <sheetData>
    <row s="5623"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359" customFormat="1" customHeight="1" ht="11.25" hidden="1">
      <c r="L2" s="1618" t="s">
        <v>298</v>
      </c>
      <c r="M2" s="1618" t="s">
        <v>299</v>
      </c>
      <c r="R2" s="1618" t="s">
        <v>300</v>
      </c>
      <c r="S2" s="1618" t="s">
        <v>299</v>
      </c>
      <c r="X2" s="1618" t="s">
        <v>298</v>
      </c>
      <c r="Y2" s="1618" t="s">
        <v>299</v>
      </c>
      <c r="AD2" s="1618" t="s">
        <v>298</v>
      </c>
      <c r="AE2" s="1618" t="s">
        <v>299</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3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580" customFormat="1" customHeight="1" ht="34.5">
      <c r="A4" s="1221"/>
      <c r="B4" s="1220"/>
      <c r="C4" s="1580"/>
      <c r="D4" s="2256" t="s">
        <v>301</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580" customFormat="1" customHeight="1" ht="14.699999999999998">
      <c r="A5" s="1697"/>
      <c r="B5" s="1696"/>
      <c r="C5" s="1580"/>
      <c r="D5" s="2241" t="str">
        <f>IF(org=0,"Не определено",org)</f>
        <v>Филиал ПАО "ОГК-2"-Ставропольская ГРЭС</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580"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623"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91</v>
      </c>
      <c r="E8" s="2192" t="s">
        <v>108</v>
      </c>
      <c r="F8" s="2257" t="s">
        <v>125</v>
      </c>
      <c r="G8" s="2258"/>
      <c r="H8" s="2257" t="s">
        <v>91</v>
      </c>
      <c r="I8" s="2258"/>
      <c r="J8" s="2192" t="s">
        <v>126</v>
      </c>
      <c r="K8" s="1621"/>
      <c r="L8" s="2261" t="s">
        <v>302</v>
      </c>
      <c r="M8" s="2261"/>
      <c r="N8" s="2261"/>
      <c r="O8" s="2261"/>
      <c r="P8" s="2261"/>
      <c r="Q8" s="1622"/>
      <c r="R8" s="2161" t="s">
        <v>303</v>
      </c>
      <c r="S8" s="2262"/>
      <c r="T8" s="2262"/>
      <c r="U8" s="2262"/>
      <c r="V8" s="2262"/>
      <c r="W8" s="1622"/>
      <c r="X8" s="2263" t="s">
        <v>304</v>
      </c>
      <c r="Y8" s="2263"/>
      <c r="Z8" s="2263"/>
      <c r="AA8" s="2263"/>
      <c r="AB8" s="2263"/>
      <c r="AC8" s="1623"/>
      <c r="AD8" s="2192" t="s">
        <v>305</v>
      </c>
      <c r="AE8" s="2192"/>
      <c r="AF8" s="2192"/>
      <c r="AG8" s="2192"/>
      <c r="AH8" s="2166"/>
      <c r="AI8" s="2192" t="s">
        <v>306</v>
      </c>
      <c r="AJ8" s="1639"/>
      <c r="BM8" s="358">
        <v>32</v>
      </c>
    </row>
    <row customHeight="1" ht="23.25">
      <c r="D9" s="2192"/>
      <c r="E9" s="2192"/>
      <c r="F9" s="2240" t="s">
        <v>92</v>
      </c>
      <c r="G9" s="2240" t="s">
        <v>131</v>
      </c>
      <c r="H9" s="2259"/>
      <c r="I9" s="2260"/>
      <c r="J9" s="2166"/>
      <c r="K9" s="1624"/>
      <c r="L9" s="2192" t="s">
        <v>307</v>
      </c>
      <c r="M9" s="2166"/>
      <c r="N9" s="2257" t="s">
        <v>91</v>
      </c>
      <c r="O9" s="2258"/>
      <c r="P9" s="2192" t="s">
        <v>132</v>
      </c>
      <c r="Q9" s="1621"/>
      <c r="R9" s="2192" t="s">
        <v>307</v>
      </c>
      <c r="S9" s="2166"/>
      <c r="T9" s="2257" t="s">
        <v>91</v>
      </c>
      <c r="U9" s="2258"/>
      <c r="V9" s="2192" t="s">
        <v>132</v>
      </c>
      <c r="W9" s="1621"/>
      <c r="X9" s="2192" t="s">
        <v>307</v>
      </c>
      <c r="Y9" s="2166"/>
      <c r="Z9" s="2257" t="s">
        <v>91</v>
      </c>
      <c r="AA9" s="2258"/>
      <c r="AB9" s="2192" t="s">
        <v>308</v>
      </c>
      <c r="AC9" s="1621"/>
      <c r="AD9" s="2192" t="s">
        <v>307</v>
      </c>
      <c r="AE9" s="2166"/>
      <c r="AF9" s="2257" t="s">
        <v>91</v>
      </c>
      <c r="AG9" s="2258"/>
      <c r="AH9" s="2166" t="s">
        <v>308</v>
      </c>
      <c r="AI9" s="2192"/>
      <c r="AJ9" s="1639"/>
      <c r="BM9" s="358">
        <v>22</v>
      </c>
    </row>
    <row customHeight="1" ht="24">
      <c r="D10" s="2240"/>
      <c r="E10" s="2240"/>
      <c r="F10" s="2264"/>
      <c r="G10" s="2264"/>
      <c r="H10" s="2265"/>
      <c r="I10" s="2266"/>
      <c r="J10" s="2257"/>
      <c r="K10" s="1624"/>
      <c r="L10" s="1643" t="s">
        <v>309</v>
      </c>
      <c r="M10" s="1638" t="s">
        <v>310</v>
      </c>
      <c r="N10" s="2259"/>
      <c r="O10" s="2260"/>
      <c r="P10" s="2240"/>
      <c r="Q10" s="1621"/>
      <c r="R10" s="1643" t="s">
        <v>309</v>
      </c>
      <c r="S10" s="1638" t="s">
        <v>310</v>
      </c>
      <c r="T10" s="2259"/>
      <c r="U10" s="2260"/>
      <c r="V10" s="2240"/>
      <c r="W10" s="1621"/>
      <c r="X10" s="1643" t="s">
        <v>309</v>
      </c>
      <c r="Y10" s="1638" t="s">
        <v>310</v>
      </c>
      <c r="Z10" s="2259"/>
      <c r="AA10" s="2260"/>
      <c r="AB10" s="2240"/>
      <c r="AC10" s="1621"/>
      <c r="AD10" s="1643" t="s">
        <v>309</v>
      </c>
      <c r="AE10" s="1638" t="s">
        <v>310</v>
      </c>
      <c r="AF10" s="2259"/>
      <c r="AG10" s="2260"/>
      <c r="AH10" s="2257"/>
      <c r="AI10" s="2240"/>
      <c r="AJ10" s="1639"/>
      <c r="AK10" s="319" t="s">
        <v>311</v>
      </c>
      <c r="AL10" s="319" t="s">
        <v>133</v>
      </c>
      <c r="BM10" s="358">
        <v>23</v>
      </c>
    </row>
    <row customHeight="1" ht="15">
      <c r="D11" s="2248" t="s">
        <v>112</v>
      </c>
      <c r="E11" s="2244" t="s">
        <v>312</v>
      </c>
      <c r="F11" s="2244" t="s">
        <v>313</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3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113</v>
      </c>
      <c r="E17" s="2244" t="s">
        <v>312</v>
      </c>
      <c r="F17" s="2244" t="s">
        <v>314</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3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93</v>
      </c>
      <c r="E23" s="2244" t="s">
        <v>312</v>
      </c>
      <c r="F23" s="2244" t="s">
        <v>315</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101</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3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94</v>
      </c>
      <c r="E29" s="2244" t="s">
        <v>312</v>
      </c>
      <c r="F29" s="2244" t="s">
        <v>316</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3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114</v>
      </c>
      <c r="E35" s="2244" t="s">
        <v>312</v>
      </c>
      <c r="F35" s="2244" t="s">
        <v>317</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3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85</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61EF3-7EEB-6552-C77F-DEC8A0E8F70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222" width="15.00390625" hidden="1" customWidth="1"/>
    <col min="2" max="2" style="3433" width="15.00390625" hidden="1" customWidth="1"/>
    <col min="3" max="3" style="3431" width="3.00390625" customWidth="1"/>
    <col min="4" max="4" style="3512" width="6.00390625" customWidth="1"/>
    <col min="5" max="5" style="3431" width="52.00390625" customWidth="1"/>
    <col min="6" max="6" style="3431" width="48.00390625" customWidth="1"/>
    <col min="7" max="7" style="3431" width="121.00390625" customWidth="1"/>
    <col min="8" max="8" style="3431" width="8.00390625" customWidth="1"/>
    <col min="9" max="9" style="3431" width="64.00390625" customWidth="1"/>
    <col min="10" max="10" style="3431" width="9.140625" hidden="1"/>
  </cols>
  <sheetData>
    <row customHeight="1" ht="11.25" hidden="1">
      <c r="A1" s="1751" t="s">
        <v>318</v>
      </c>
      <c r="J1" s="520" t="s">
        <v>14</v>
      </c>
    </row>
    <row customHeight="1" ht="11.25" hidden="1">
      <c r="J2" s="520">
        <v>0</v>
      </c>
    </row>
    <row s="3432"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Филиал ПАО "ОГК-2"-Ставропольская ГРЭС</v>
      </c>
      <c r="E5" s="2241"/>
      <c r="F5" s="2241"/>
      <c r="I5" s="780"/>
      <c r="J5" s="520">
        <v>17</v>
      </c>
    </row>
    <row s="3432"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319</v>
      </c>
      <c r="E8" s="2270"/>
      <c r="F8" s="2270"/>
      <c r="G8" s="2273" t="s">
        <v>320</v>
      </c>
      <c r="J8" s="520">
        <v>11</v>
      </c>
    </row>
    <row customHeight="1" ht="11.549999999999999">
      <c r="A9" s="522"/>
      <c r="B9" s="567"/>
      <c r="C9" s="522"/>
      <c r="D9" s="537" t="s">
        <v>91</v>
      </c>
      <c r="E9" s="511" t="s">
        <v>321</v>
      </c>
      <c r="F9" s="511" t="s">
        <v>322</v>
      </c>
      <c r="G9" s="2274"/>
      <c r="J9" s="520">
        <v>11</v>
      </c>
    </row>
    <row customHeight="1" ht="12" hidden="1">
      <c r="A10" s="522"/>
      <c r="B10" s="567"/>
      <c r="C10" s="522"/>
      <c r="D10" s="529"/>
      <c r="E10" s="529"/>
      <c r="F10" s="529"/>
      <c r="G10" s="529"/>
      <c r="J10" s="520">
        <v>0</v>
      </c>
    </row>
    <row customHeight="1" ht="22.5" hidden="1">
      <c r="A11" s="522"/>
      <c r="B11" s="567"/>
      <c r="C11" s="522"/>
      <c r="D11" s="1074" t="s">
        <v>112</v>
      </c>
      <c r="E11" s="1077" t="s">
        <v>323</v>
      </c>
      <c r="F11" s="1076" t="str">
        <f>IF(region_name="","",region_name)</f>
        <v>Ставропольский край</v>
      </c>
      <c r="G11" s="1077" t="s">
        <v>324</v>
      </c>
      <c r="H11" s="540"/>
      <c r="J11" s="520">
        <v>0</v>
      </c>
    </row>
    <row customHeight="1" ht="22.5" hidden="1">
      <c r="A12" s="522"/>
      <c r="B12" s="567"/>
      <c r="C12" s="522"/>
      <c r="D12" s="510" t="s">
        <v>112</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325</v>
      </c>
      <c r="G12" s="539"/>
      <c r="H12" s="540"/>
      <c r="J12" s="520">
        <v>0</v>
      </c>
    </row>
    <row customHeight="1" ht="23.25">
      <c r="A13" s="522"/>
      <c r="B13" s="567"/>
      <c r="C13" s="522"/>
      <c r="D13" s="510" t="s">
        <v>112</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326</v>
      </c>
      <c r="E14" s="1075" t="s">
        <v>327</v>
      </c>
      <c r="F14" s="1076" t="str">
        <f>IF(inn="","",inn)</f>
        <v>2607018122</v>
      </c>
      <c r="G14" s="1077" t="s">
        <v>328</v>
      </c>
      <c r="H14" s="540"/>
      <c r="J14" s="520">
        <v>0</v>
      </c>
    </row>
    <row customHeight="1" ht="22.5" hidden="1">
      <c r="A15" s="522"/>
      <c r="B15" s="567"/>
      <c r="C15" s="522"/>
      <c r="D15" s="1074" t="s">
        <v>329</v>
      </c>
      <c r="E15" s="1075" t="s">
        <v>330</v>
      </c>
      <c r="F15" s="1076" t="str">
        <f>IF(kpp="","",kpp)</f>
        <v>260702001</v>
      </c>
      <c r="G15" s="1077" t="s">
        <v>331</v>
      </c>
      <c r="H15" s="540"/>
      <c r="J15" s="520">
        <v>0</v>
      </c>
    </row>
    <row customHeight="1" ht="39">
      <c r="A16" s="522"/>
      <c r="B16" s="567"/>
      <c r="C16" s="522"/>
      <c r="D16" s="510" t="s">
        <v>113</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93</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94</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332</v>
      </c>
      <c r="B19" s="567"/>
      <c r="C19" s="2278"/>
      <c r="D19" s="510" t="str">
        <f>A19</f>
        <v>5.1</v>
      </c>
      <c r="E19" s="507" t="s">
        <v>333</v>
      </c>
      <c r="F19" s="508" t="s">
        <v>325</v>
      </c>
      <c r="G19" s="509" t="s">
        <v>334</v>
      </c>
      <c r="H19" s="540"/>
      <c r="I19" s="917"/>
      <c r="J19" s="520">
        <v>0</v>
      </c>
    </row>
    <row customHeight="1" ht="24" hidden="1">
      <c r="A20" s="2267"/>
      <c r="B20" s="567"/>
      <c r="C20" s="2278"/>
      <c r="D20" s="505" t="str">
        <f>D19&amp;".1"</f>
        <v>5.1.1</v>
      </c>
      <c r="E20" s="504" t="s">
        <v>335</v>
      </c>
      <c r="F20" s="946" t="s">
        <v>28</v>
      </c>
      <c r="G20" s="539"/>
      <c r="H20" s="540"/>
      <c r="I20" s="917"/>
      <c r="J20" s="520">
        <v>0</v>
      </c>
    </row>
    <row customHeight="1" ht="22.5" hidden="1">
      <c r="A21" s="2267"/>
      <c r="B21" s="567"/>
      <c r="C21" s="2278"/>
      <c r="D21" s="505" t="str">
        <f>D19&amp;".2"</f>
        <v>5.1.2</v>
      </c>
      <c r="E21" s="504" t="s">
        <v>336</v>
      </c>
      <c r="F21" s="1798" t="s">
        <v>28</v>
      </c>
      <c r="G21" s="509" t="s">
        <v>337</v>
      </c>
      <c r="H21" s="540"/>
      <c r="I21" s="917"/>
      <c r="J21" s="520">
        <v>0</v>
      </c>
    </row>
    <row customHeight="1" ht="22.5" hidden="1">
      <c r="A22" s="2267"/>
      <c r="B22" s="567"/>
      <c r="C22" s="2278"/>
      <c r="D22" s="505" t="str">
        <f>D19&amp;".3"</f>
        <v>5.1.3</v>
      </c>
      <c r="E22" s="504" t="s">
        <v>338</v>
      </c>
      <c r="F22" s="946" t="s">
        <v>28</v>
      </c>
      <c r="G22" s="539"/>
      <c r="H22" s="540"/>
      <c r="I22" s="917"/>
      <c r="J22" s="520">
        <v>0</v>
      </c>
    </row>
    <row customHeight="1" ht="22.5" hidden="1">
      <c r="A23" s="2267"/>
      <c r="B23" s="567"/>
      <c r="C23" s="2278"/>
      <c r="D23" s="505" t="str">
        <f>D19&amp;".4"</f>
        <v>5.1.4</v>
      </c>
      <c r="E23" s="504" t="s">
        <v>339</v>
      </c>
      <c r="F23" s="946" t="s">
        <v>28</v>
      </c>
      <c r="G23" s="509" t="s">
        <v>340</v>
      </c>
      <c r="H23" s="540"/>
      <c r="I23" s="917"/>
      <c r="J23" s="520">
        <v>0</v>
      </c>
    </row>
    <row customHeight="1" ht="22.5" hidden="1">
      <c r="A24" s="2043"/>
      <c r="B24" s="567"/>
      <c r="C24" s="557"/>
      <c r="D24" s="532"/>
      <c r="E24" s="1233" t="s">
        <v>341</v>
      </c>
      <c r="F24" s="533"/>
      <c r="G24" s="534"/>
      <c r="H24" s="540"/>
      <c r="I24" s="917"/>
      <c r="J24" s="520">
        <v>0</v>
      </c>
    </row>
    <row s="3433" customFormat="1" customHeight="1" ht="24.75" hidden="1">
      <c r="A25" s="522"/>
      <c r="B25" s="567"/>
      <c r="C25" s="567"/>
      <c r="D25" s="1071" t="s">
        <v>93</v>
      </c>
      <c r="E25" s="1073" t="s">
        <v>342</v>
      </c>
      <c r="F25" s="1078" t="s">
        <v>325</v>
      </c>
      <c r="G25" s="1073"/>
      <c r="J25" s="566">
        <v>0</v>
      </c>
    </row>
    <row s="3433" customFormat="1" customHeight="1" ht="11.25" hidden="1">
      <c r="A26" s="522"/>
      <c r="B26" s="567"/>
      <c r="C26" s="567"/>
      <c r="D26" s="1071" t="s">
        <v>343</v>
      </c>
      <c r="E26" s="1072" t="s">
        <v>344</v>
      </c>
      <c r="F26" s="1078" t="s">
        <v>325</v>
      </c>
      <c r="G26" s="1073"/>
      <c r="J26" s="566">
        <v>0</v>
      </c>
    </row>
    <row s="3433" customFormat="1" customHeight="1" ht="11.25" hidden="1">
      <c r="A27" s="522"/>
      <c r="B27" s="567"/>
      <c r="C27" s="567"/>
      <c r="D27" s="1071" t="s">
        <v>345</v>
      </c>
      <c r="E27" s="1079" t="s">
        <v>346</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433" customFormat="1" customHeight="1" ht="11.25" hidden="1">
      <c r="A28" s="522"/>
      <c r="B28" s="567"/>
      <c r="C28" s="567"/>
      <c r="D28" s="1071" t="s">
        <v>347</v>
      </c>
      <c r="E28" s="1079" t="s">
        <v>348</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433" customFormat="1" customHeight="1" ht="11.25" hidden="1">
      <c r="A29" s="522"/>
      <c r="B29" s="567"/>
      <c r="C29" s="567"/>
      <c r="D29" s="1071" t="s">
        <v>349</v>
      </c>
      <c r="E29" s="1079" t="s">
        <v>350</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433" customFormat="1" customHeight="1" ht="11.25" hidden="1">
      <c r="A30" s="522"/>
      <c r="B30" s="567"/>
      <c r="C30" s="567"/>
      <c r="D30" s="1071" t="s">
        <v>351</v>
      </c>
      <c r="E30" s="1072" t="s">
        <v>352</v>
      </c>
      <c r="F30" s="1080"/>
      <c r="G30" s="1073"/>
      <c r="J30" s="566">
        <v>0</v>
      </c>
    </row>
    <row s="3433" customFormat="1" customHeight="1" ht="11.25" hidden="1">
      <c r="A31" s="522"/>
      <c r="B31" s="567"/>
      <c r="C31" s="567"/>
      <c r="D31" s="1071" t="s">
        <v>353</v>
      </c>
      <c r="E31" s="1072" t="s">
        <v>354</v>
      </c>
      <c r="F31" s="1080"/>
      <c r="G31" s="1073"/>
      <c r="J31" s="566">
        <v>0</v>
      </c>
    </row>
    <row s="3433" customFormat="1" customHeight="1" ht="11.25" hidden="1">
      <c r="A32" s="522"/>
      <c r="B32" s="567"/>
      <c r="C32" s="567"/>
      <c r="D32" s="1071" t="s">
        <v>355</v>
      </c>
      <c r="E32" s="1072" t="s">
        <v>356</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325</v>
      </c>
      <c r="G33" s="539"/>
      <c r="H33" s="540"/>
      <c r="J33" s="520">
        <v>23</v>
      </c>
    </row>
    <row customHeight="1" ht="23.25">
      <c r="A34" s="522"/>
      <c r="B34" s="567"/>
      <c r="C34" s="522"/>
      <c r="D34" s="505" t="str">
        <f>D33&amp;".1"</f>
        <v>6.1</v>
      </c>
      <c r="E34" s="507" t="str">
        <f>"фамилия"&amp;IF(TEMPLATE_SPHERE&lt;&gt;"HEAT"," руководителя","")</f>
        <v>фамилия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5.69999999999999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c r="G37" s="509" t="s">
        <v>357</v>
      </c>
      <c r="H37" s="540"/>
      <c r="J37" s="520">
        <v>34</v>
      </c>
    </row>
    <row customHeight="1" ht="35.69999999999999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c r="G38" s="509" t="s">
        <v>357</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325</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c r="F41" s="926"/>
      <c r="G41" s="2276"/>
      <c r="H41" s="540"/>
      <c r="J41" s="520">
        <v>22</v>
      </c>
    </row>
    <row customHeight="1" ht="15.75">
      <c r="A42" s="522"/>
      <c r="B42" s="567"/>
      <c r="C42" s="522"/>
      <c r="D42" s="532"/>
      <c r="E42" s="480" t="s">
        <v>358</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3"/>
      <c r="G44" s="539" t="s">
        <v>359</v>
      </c>
      <c r="H44" s="540"/>
      <c r="J44" s="520">
        <v>22</v>
      </c>
    </row>
    <row customHeight="1" ht="23.25">
      <c r="A45" s="522"/>
      <c r="B45" s="567"/>
      <c r="C45" s="522"/>
      <c r="D45" s="505">
        <f>D44+1</f>
        <v>12</v>
      </c>
      <c r="E45" s="503" t="s">
        <v>360</v>
      </c>
      <c r="F45" s="508" t="s">
        <v>325</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c r="G46" s="502" t="s">
        <v>361</v>
      </c>
      <c r="H46" s="540"/>
      <c r="J46" s="520">
        <v>23</v>
      </c>
    </row>
    <row customHeight="1" ht="24">
      <c r="A47" s="2267"/>
      <c r="B47" s="567"/>
      <c r="C47" s="557"/>
      <c r="D47" s="505" t="str">
        <f>D45&amp;".2"</f>
        <v>12.2</v>
      </c>
      <c r="E47" s="507" t="s">
        <v>362</v>
      </c>
      <c r="F47" s="555"/>
      <c r="G47" s="502" t="s">
        <v>363</v>
      </c>
      <c r="H47" s="540"/>
      <c r="J47" s="520">
        <v>23</v>
      </c>
    </row>
    <row customHeight="1" ht="24">
      <c r="A48" s="2267"/>
      <c r="B48" s="567"/>
      <c r="C48" s="557"/>
      <c r="D48" s="505" t="str">
        <f>D45&amp;".3"</f>
        <v>12.3</v>
      </c>
      <c r="E48" s="507" t="s">
        <v>364</v>
      </c>
      <c r="F48" s="555"/>
      <c r="G48" s="502" t="s">
        <v>365</v>
      </c>
      <c r="H48" s="540"/>
      <c r="J48" s="520">
        <v>23</v>
      </c>
    </row>
    <row customHeight="1" ht="24">
      <c r="A49" s="2267"/>
      <c r="B49" s="567"/>
      <c r="C49" s="557"/>
      <c r="D49" s="505" t="str">
        <f>IF(TEMPLATE_SPHERE="TKO",D45&amp;".0",D45&amp;".4")</f>
        <v>12.4</v>
      </c>
      <c r="E49" s="501" t="s">
        <v>366</v>
      </c>
      <c r="F49" s="1750"/>
      <c r="G49" s="1827" t="s">
        <v>367</v>
      </c>
      <c r="H49" s="540"/>
      <c r="J49" s="520">
        <v>23</v>
      </c>
    </row>
    <row customHeight="1" ht="24">
      <c r="A50" s="522"/>
      <c r="B50" s="567"/>
      <c r="C50" s="522"/>
      <c r="D50" s="532"/>
      <c r="E50" s="480" t="s">
        <v>368</v>
      </c>
      <c r="F50" s="533"/>
      <c r="G50" s="1827" t="s">
        <v>369</v>
      </c>
      <c r="H50" s="541"/>
      <c r="J50" s="520">
        <v>23</v>
      </c>
    </row>
    <row customHeight="1" ht="24">
      <c r="A51" s="923"/>
      <c r="B51" s="567"/>
      <c r="C51" s="557"/>
      <c r="D51" s="505">
        <f>D45+1</f>
        <v>13</v>
      </c>
      <c r="E51" s="593" t="s">
        <v>370</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500"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500"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85</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251BC-404F-CEB6-1EC7-49BF0464D7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200" width="9.140625" hidden="1" customWidth="1"/>
    <col min="2" max="2" style="4921" width="9.140625" hidden="1" customWidth="1"/>
    <col min="3" max="3" style="5252" width="3.00390625" customWidth="1"/>
    <col min="4" max="4" style="4921" width="5.00390625" customWidth="1"/>
    <col min="5" max="5" style="4921" width="48.00390625" customWidth="1"/>
    <col min="6" max="6" style="4921" width="38.00390625" customWidth="1"/>
    <col min="7" max="7" style="4921" width="1.7109375" hidden="1" customWidth="1"/>
    <col min="8" max="11" style="4921" width="19.8515625" customWidth="1"/>
    <col min="12" max="12" style="4921" width="9.7109375" customWidth="1"/>
    <col min="13" max="18" style="4921" width="19.8515625" customWidth="1"/>
    <col min="19" max="19" style="4921" width="1.7109375" hidden="1" customWidth="1"/>
    <col min="20" max="22" style="4921" width="19.8515625" hidden="1" customWidth="1"/>
    <col min="23" max="23" style="4921" width="1.7109375" hidden="1" customWidth="1"/>
    <col min="24" max="26" style="4921" width="19.8515625" hidden="1" customWidth="1"/>
    <col min="27" max="27" style="4921" width="1.7109375" hidden="1" customWidth="1"/>
    <col min="28" max="29" style="4921" width="19.8515625" hidden="1" customWidth="1"/>
    <col min="30" max="30" style="4921" width="1.7109375" hidden="1" customWidth="1"/>
    <col min="31" max="31" style="4921" width="103.7109375" customWidth="1"/>
    <col min="32" max="34" style="4921" width="103.7109375" hidden="1" customWidth="1"/>
    <col min="35" max="35" style="3580" width="3.00390625" customWidth="1"/>
    <col min="36" max="38" style="4423" width="10.00390625" customWidth="1"/>
    <col min="39" max="39" style="4423" width="13.7109375" hidden="1" customWidth="1"/>
    <col min="40" max="40" style="4423" width="15.00390625" customWidth="1"/>
    <col min="41" max="41" style="4423" width="16.00390625" customWidth="1"/>
    <col min="42" max="45" style="4423" width="10.00390625" customWidth="1"/>
    <col min="46" max="46" style="4921" width="10.57421875" hidden="1"/>
  </cols>
  <sheetData>
    <row customHeight="1" ht="22.5" hidden="1">
      <c r="E1" s="477"/>
      <c r="F1" s="477"/>
      <c r="G1" s="477"/>
      <c r="H1" s="2282" t="s">
        <v>371</v>
      </c>
      <c r="I1" s="2282"/>
      <c r="J1" s="2282"/>
      <c r="K1" s="2282"/>
      <c r="L1" s="2282"/>
      <c r="M1" s="2282"/>
      <c r="N1" s="2282"/>
      <c r="O1" s="2282"/>
      <c r="P1" s="2282"/>
      <c r="Q1" s="2282"/>
      <c r="R1" s="2282"/>
      <c r="T1" s="2282" t="s">
        <v>372</v>
      </c>
      <c r="U1" s="2282"/>
      <c r="V1" s="2282"/>
      <c r="X1" s="2282" t="s">
        <v>373</v>
      </c>
      <c r="Y1" s="2282"/>
      <c r="Z1" s="2282"/>
      <c r="AB1" s="2282" t="s">
        <v>374</v>
      </c>
      <c r="AC1" s="2282"/>
      <c r="AT1" s="512" t="s">
        <v>14</v>
      </c>
    </row>
    <row customHeight="1" ht="14.25" hidden="1">
      <c r="AT2" s="512">
        <v>0</v>
      </c>
    </row>
    <row s="3518" customFormat="1" customHeight="1" ht="5.25">
      <c r="C3" s="766"/>
      <c r="D3" s="767"/>
      <c r="E3" s="767"/>
      <c r="F3" s="767"/>
      <c r="G3" s="767"/>
      <c r="H3" s="767" t="s">
        <v>375</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921" customFormat="1" customHeight="1" ht="18">
      <c r="A5" s="824"/>
      <c r="C5" s="887"/>
      <c r="D5" s="2279" t="str">
        <f>IF(org=0,"Не определено",org)</f>
        <v>Филиал ПАО "ОГК-2"-Ставропольская ГРЭС</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533"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319</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320</v>
      </c>
      <c r="AF7" s="2288" t="s">
        <v>320</v>
      </c>
      <c r="AG7" s="2288" t="s">
        <v>320</v>
      </c>
      <c r="AH7" s="2288" t="s">
        <v>320</v>
      </c>
      <c r="AT7" s="512">
        <v>14</v>
      </c>
    </row>
    <row customHeight="1" ht="27.299999999999997">
      <c r="C8" s="515"/>
      <c r="D8" s="2192" t="s">
        <v>91</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376</v>
      </c>
      <c r="I8" s="2291" t="s">
        <v>377</v>
      </c>
      <c r="J8" s="2288" t="s">
        <v>378</v>
      </c>
      <c r="K8" s="2288"/>
      <c r="L8" s="2288"/>
      <c r="M8" s="2283"/>
      <c r="N8" s="2288" t="s">
        <v>379</v>
      </c>
      <c r="O8" s="2288"/>
      <c r="P8" s="2288" t="s">
        <v>380</v>
      </c>
      <c r="Q8" s="2288"/>
      <c r="R8" s="2295" t="s">
        <v>381</v>
      </c>
      <c r="S8" s="889"/>
      <c r="T8" s="2293" t="s">
        <v>382</v>
      </c>
      <c r="U8" s="2293" t="s">
        <v>383</v>
      </c>
      <c r="V8" s="2293" t="s">
        <v>384</v>
      </c>
      <c r="W8" s="891"/>
      <c r="X8" s="2293" t="s">
        <v>385</v>
      </c>
      <c r="Y8" s="2293" t="s">
        <v>386</v>
      </c>
      <c r="Z8" s="2293" t="s">
        <v>387</v>
      </c>
      <c r="AA8" s="891"/>
      <c r="AB8" s="2293" t="s">
        <v>388</v>
      </c>
      <c r="AC8" s="2293" t="s">
        <v>381</v>
      </c>
      <c r="AD8" s="891"/>
      <c r="AE8" s="2288"/>
      <c r="AF8" s="2288"/>
      <c r="AG8" s="2288"/>
      <c r="AH8" s="2288"/>
      <c r="AT8" s="512">
        <v>26</v>
      </c>
    </row>
    <row customHeight="1" ht="46.199999999999996">
      <c r="C9" s="515"/>
      <c r="D9" s="2192"/>
      <c r="E9" s="2288"/>
      <c r="F9" s="2288"/>
      <c r="G9" s="894"/>
      <c r="H9" s="2290"/>
      <c r="I9" s="2292"/>
      <c r="J9" s="490" t="s">
        <v>389</v>
      </c>
      <c r="K9" s="490" t="s">
        <v>390</v>
      </c>
      <c r="L9" s="490" t="s">
        <v>391</v>
      </c>
      <c r="M9" s="496" t="s">
        <v>392</v>
      </c>
      <c r="N9" s="490" t="s">
        <v>393</v>
      </c>
      <c r="O9" s="490" t="s">
        <v>392</v>
      </c>
      <c r="P9" s="490" t="s">
        <v>394</v>
      </c>
      <c r="Q9" s="490" t="s">
        <v>392</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4094" customFormat="1" customHeight="1" ht="11.25" hidden="1">
      <c r="C11" s="563"/>
      <c r="D11" s="564" t="s">
        <v>395</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112</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396</v>
      </c>
      <c r="AF12" s="2286" t="s">
        <v>397</v>
      </c>
      <c r="AG12" s="2286" t="s">
        <v>398</v>
      </c>
      <c r="AH12" s="2286" t="s">
        <v>399</v>
      </c>
      <c r="AI12" s="512"/>
      <c r="AM12" s="576"/>
      <c r="AP12" s="565" t="s">
        <v>400</v>
      </c>
      <c r="AQ12" s="565" t="s">
        <v>400</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85</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44982-F645-8DC7-3A62-244146DBB02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200" width="9.140625" hidden="1" customWidth="1"/>
    <col min="2" max="2" style="4921" width="9.140625" hidden="1" customWidth="1"/>
    <col min="3" max="3" style="5252" width="3.00390625" customWidth="1"/>
    <col min="4" max="4" style="4921" width="5.00390625" customWidth="1"/>
    <col min="5" max="5" style="4921" width="38.00390625" customWidth="1"/>
    <col min="6" max="7" style="4921" width="3.00390625" customWidth="1"/>
    <col min="8" max="8" style="4921" width="38.00390625" customWidth="1"/>
    <col min="9" max="9" style="4921" width="35.00390625" customWidth="1"/>
    <col min="10" max="10" style="4921" width="103.00390625" customWidth="1"/>
    <col min="11" max="11" style="3580" width="3.00390625" customWidth="1"/>
    <col min="12" max="14" style="4423" width="10.00390625" customWidth="1"/>
    <col min="15" max="15" style="4423" width="13.00390625" customWidth="1"/>
    <col min="16" max="16" style="4423" width="15.00390625" customWidth="1"/>
    <col min="17" max="17" style="4423" width="16.00390625" customWidth="1"/>
    <col min="18" max="21" style="4423" width="10.00390625" customWidth="1"/>
    <col min="22" max="22" style="4921" width="10.57421875" hidden="1"/>
  </cols>
  <sheetData>
    <row customHeight="1" ht="22.5" hidden="1">
      <c r="E1" s="477"/>
      <c r="F1" s="477"/>
      <c r="G1" s="477"/>
      <c r="H1" s="2282" t="s">
        <v>371</v>
      </c>
      <c r="I1" s="2282"/>
      <c r="V1" s="1672" t="s">
        <v>14</v>
      </c>
    </row>
    <row s="4921" customFormat="1" customHeight="1" ht="14.25" hidden="1">
      <c r="C2" s="1684"/>
      <c r="D2" s="2298" t="s">
        <v>112</v>
      </c>
      <c r="E2" s="2300"/>
      <c r="F2" s="1690"/>
      <c r="G2" s="1685" t="s">
        <v>112</v>
      </c>
      <c r="H2" s="1688"/>
      <c r="I2" s="1686"/>
      <c r="L2" s="1687"/>
      <c r="M2" s="1687"/>
      <c r="N2" s="1687"/>
      <c r="O2" s="1687" t="s">
        <v>401</v>
      </c>
      <c r="P2" s="1687"/>
      <c r="Q2" s="1687"/>
      <c r="R2" s="1689" t="s">
        <v>400</v>
      </c>
      <c r="S2" s="1689" t="s">
        <v>400</v>
      </c>
      <c r="T2" s="1687"/>
      <c r="U2" s="1687"/>
      <c r="V2" s="1683">
        <v>0</v>
      </c>
    </row>
    <row s="4921" customFormat="1" customHeight="1" ht="14.25" hidden="1">
      <c r="C3" s="1684"/>
      <c r="D3" s="2299"/>
      <c r="E3" s="2301"/>
      <c r="F3" s="470"/>
      <c r="G3" s="934"/>
      <c r="H3" s="934" t="s">
        <v>402</v>
      </c>
      <c r="I3" s="378"/>
      <c r="L3" s="1687"/>
      <c r="M3" s="1687"/>
      <c r="N3" s="1687"/>
      <c r="O3" s="1687"/>
      <c r="P3" s="1687"/>
      <c r="Q3" s="1687"/>
      <c r="R3" s="1689"/>
      <c r="S3" s="1689"/>
      <c r="T3" s="1687"/>
      <c r="U3" s="1687"/>
      <c r="V3" s="1683">
        <v>0</v>
      </c>
    </row>
    <row customHeight="1" ht="14.25" hidden="1">
      <c r="V4" s="1672">
        <v>0</v>
      </c>
    </row>
    <row s="3518" customFormat="1" customHeight="1" ht="5.25">
      <c r="C5" s="766"/>
      <c r="D5" s="767"/>
      <c r="E5" s="767"/>
      <c r="F5" s="767"/>
      <c r="G5" s="767"/>
      <c r="H5" s="767" t="s">
        <v>375</v>
      </c>
      <c r="I5" s="767"/>
      <c r="J5" s="767"/>
      <c r="L5" s="1679"/>
      <c r="M5" s="1679"/>
      <c r="N5" s="1679"/>
      <c r="O5" s="1679"/>
      <c r="P5" s="1679"/>
      <c r="Q5" s="1679"/>
      <c r="R5" s="1679"/>
      <c r="S5" s="1679"/>
      <c r="T5" s="1679"/>
      <c r="U5" s="1679"/>
      <c r="V5" s="1678">
        <v>5</v>
      </c>
    </row>
    <row customHeight="1" ht="29.25">
      <c r="C6" s="1581"/>
      <c r="D6" s="2302" t="s">
        <v>403</v>
      </c>
      <c r="E6" s="2302"/>
      <c r="F6" s="2302"/>
      <c r="G6" s="2302"/>
      <c r="H6" s="2302"/>
      <c r="I6" s="2302"/>
      <c r="J6" s="556"/>
      <c r="K6" s="1680"/>
      <c r="V6" s="1672">
        <v>28</v>
      </c>
    </row>
    <row customHeight="1" ht="18">
      <c r="C7" s="1581"/>
      <c r="D7" s="2241" t="str">
        <f>IF(org=0,"Не определено",org)</f>
        <v>Филиал ПАО "ОГК-2"-Ставропольская ГРЭС</v>
      </c>
      <c r="E7" s="2241"/>
      <c r="F7" s="2241"/>
      <c r="G7" s="2241"/>
      <c r="H7" s="2241"/>
      <c r="I7" s="2241"/>
      <c r="J7" s="556"/>
      <c r="K7" s="1680"/>
      <c r="V7" s="1672">
        <v>17</v>
      </c>
    </row>
    <row s="3533"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533"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319</v>
      </c>
      <c r="E10" s="2284"/>
      <c r="F10" s="2284"/>
      <c r="G10" s="2284"/>
      <c r="H10" s="2284"/>
      <c r="I10" s="2284"/>
      <c r="J10" s="2288" t="s">
        <v>320</v>
      </c>
      <c r="V10" s="1672">
        <v>14</v>
      </c>
    </row>
    <row customHeight="1" ht="27.299999999999997">
      <c r="C11" s="1581"/>
      <c r="D11" s="2192" t="s">
        <v>91</v>
      </c>
      <c r="E11" s="2288" t="s">
        <v>108</v>
      </c>
      <c r="F11" s="2257" t="s">
        <v>91</v>
      </c>
      <c r="G11" s="2258"/>
      <c r="H11" s="2240" t="s">
        <v>404</v>
      </c>
      <c r="I11" s="2240" t="s">
        <v>405</v>
      </c>
      <c r="J11" s="2288"/>
      <c r="V11" s="1672">
        <v>26</v>
      </c>
    </row>
    <row customHeight="1" ht="14.699999999999998">
      <c r="C12" s="1581"/>
      <c r="D12" s="2192"/>
      <c r="E12" s="2288"/>
      <c r="F12" s="2265"/>
      <c r="G12" s="2266"/>
      <c r="H12" s="2297"/>
      <c r="I12" s="2297"/>
      <c r="J12" s="2288"/>
      <c r="V12" s="1672">
        <v>14</v>
      </c>
    </row>
    <row s="4094" customFormat="1" customHeight="1" ht="11.25" hidden="1">
      <c r="C13" s="563"/>
      <c r="D13" s="564" t="s">
        <v>395</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112</v>
      </c>
      <c r="E14" s="2300"/>
      <c r="F14" s="1682"/>
      <c r="G14" s="1681" t="s">
        <v>112</v>
      </c>
      <c r="H14" s="1688"/>
      <c r="I14" s="1686"/>
      <c r="J14" s="2234" t="s">
        <v>406</v>
      </c>
      <c r="K14" s="1672"/>
      <c r="R14" s="565" t="s">
        <v>400</v>
      </c>
      <c r="S14" s="565" t="s">
        <v>400</v>
      </c>
      <c r="V14" s="1672">
        <v>14</v>
      </c>
    </row>
    <row customHeight="1" ht="14.699999999999998">
      <c r="A15" s="1672"/>
      <c r="C15" s="1581"/>
      <c r="D15" s="2299"/>
      <c r="E15" s="2301"/>
      <c r="F15" s="470"/>
      <c r="G15" s="934"/>
      <c r="H15" s="934" t="s">
        <v>402</v>
      </c>
      <c r="I15" s="378"/>
      <c r="J15" s="2235"/>
      <c r="K15" s="1672"/>
      <c r="R15" s="565"/>
      <c r="S15" s="565"/>
      <c r="V15" s="1672">
        <v>14</v>
      </c>
    </row>
    <row customHeight="1" ht="14.699999999999998">
      <c r="A16" s="1672"/>
      <c r="C16" s="1581"/>
      <c r="D16" s="470"/>
      <c r="E16" s="934" t="s">
        <v>124</v>
      </c>
      <c r="F16" s="378"/>
      <c r="G16" s="378"/>
      <c r="H16" s="471"/>
      <c r="I16" s="471"/>
      <c r="J16" s="2236"/>
      <c r="K16" s="1672"/>
      <c r="V16" s="1672">
        <v>14</v>
      </c>
    </row>
    <row customHeight="1" ht="14.699999999999998">
      <c r="K17" s="1672"/>
      <c r="V17" s="1672">
        <v>14</v>
      </c>
    </row>
    <row customHeight="1" ht="22.5" hidden="1">
      <c r="A18" s="1673" t="s">
        <v>85</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7DA85-1A58-0C5D-6CE5-92A16333D6B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200" width="9.140625" hidden="1" customWidth="1"/>
    <col min="2" max="3" style="4921" width="9.140625" hidden="1" customWidth="1"/>
    <col min="4" max="4" style="5252" width="3.00390625" customWidth="1"/>
    <col min="5" max="5" style="4921" width="6.00390625" customWidth="1"/>
    <col min="6" max="6" style="4921" width="1.7109375" hidden="1" customWidth="1"/>
    <col min="7" max="8" style="4921" width="30.00390625" customWidth="1"/>
    <col min="9" max="9" style="4921" width="8.00390625" customWidth="1"/>
    <col min="10" max="10" style="4921" width="12.140625" customWidth="1"/>
    <col min="11" max="11" style="4921" width="46.00390625" customWidth="1"/>
    <col min="12" max="12" style="4921" width="100.00390625" customWidth="1"/>
    <col min="13" max="13" style="3580" width="7.00390625" customWidth="1"/>
    <col min="14" max="22" style="4921" width="10.00390625" customWidth="1"/>
    <col min="23" max="23" style="4921" width="10.57421875" hidden="1"/>
  </cols>
  <sheetData>
    <row s="4423" customFormat="1" customHeight="1" ht="5.25" hidden="1">
      <c r="C1" s="576"/>
      <c r="D1" s="559"/>
      <c r="F1" s="576"/>
      <c r="G1" s="554" t="s">
        <v>86</v>
      </c>
      <c r="H1" s="554" t="s">
        <v>87</v>
      </c>
      <c r="I1" s="554" t="s">
        <v>88</v>
      </c>
      <c r="P1" s="554" t="s">
        <v>86</v>
      </c>
      <c r="Q1" s="554" t="s">
        <v>87</v>
      </c>
      <c r="R1" s="554" t="s">
        <v>88</v>
      </c>
      <c r="W1" s="554" t="s">
        <v>14</v>
      </c>
    </row>
    <row s="4423" customFormat="1" customHeight="1" ht="5.25" hidden="1">
      <c r="C2" s="576"/>
      <c r="D2" s="559"/>
      <c r="F2" s="576"/>
      <c r="W2" s="554">
        <v>0</v>
      </c>
    </row>
    <row s="3533" customFormat="1" customHeight="1" ht="5.25">
      <c r="A3" s="544"/>
      <c r="D3" s="551"/>
      <c r="E3" s="546"/>
      <c r="F3" s="546"/>
      <c r="G3" s="546"/>
      <c r="H3" s="546"/>
      <c r="I3" s="547"/>
      <c r="J3" s="548"/>
      <c r="K3" s="548"/>
      <c r="L3" s="548"/>
      <c r="W3" s="545">
        <v>5</v>
      </c>
    </row>
    <row customHeight="1" ht="23.25">
      <c r="D4" s="515"/>
      <c r="E4" s="2303" t="s">
        <v>407</v>
      </c>
      <c r="F4" s="2303"/>
      <c r="G4" s="2304"/>
      <c r="H4" s="2304"/>
      <c r="I4" s="2305"/>
      <c r="J4" s="556"/>
      <c r="K4" s="518"/>
      <c r="L4" s="518"/>
      <c r="W4" s="512">
        <v>22</v>
      </c>
    </row>
    <row s="4921" customFormat="1" customHeight="1" ht="18">
      <c r="A5" s="824"/>
      <c r="D5" s="887"/>
      <c r="E5" s="2279" t="str">
        <f>IF(org=0,"Не определено",org)</f>
        <v>Филиал ПАО "ОГК-2"-Ставропольская ГРЭС</v>
      </c>
      <c r="F5" s="2279"/>
      <c r="G5" s="2280"/>
      <c r="H5" s="2280"/>
      <c r="I5" s="2281"/>
      <c r="J5" s="556"/>
      <c r="K5" s="518"/>
      <c r="L5" s="518"/>
      <c r="M5" s="572"/>
      <c r="W5" s="823">
        <v>17</v>
      </c>
    </row>
    <row s="3533" customFormat="1" customHeight="1" ht="11.549999999999999">
      <c r="A6" s="544"/>
      <c r="D6" s="551"/>
      <c r="E6" s="546"/>
      <c r="F6" s="546"/>
      <c r="G6" s="549"/>
      <c r="H6" s="549"/>
      <c r="I6" s="550"/>
      <c r="J6" s="550"/>
      <c r="K6" s="817"/>
      <c r="L6" s="550"/>
      <c r="W6" s="545">
        <v>11</v>
      </c>
    </row>
    <row customHeight="1" ht="14.699999999999998">
      <c r="D7" s="515"/>
      <c r="E7" s="2273" t="s">
        <v>319</v>
      </c>
      <c r="F7" s="2273"/>
      <c r="G7" s="2274"/>
      <c r="H7" s="2274"/>
      <c r="I7" s="2274"/>
      <c r="J7" s="2274"/>
      <c r="K7" s="2274"/>
      <c r="L7" s="2288" t="s">
        <v>320</v>
      </c>
      <c r="W7" s="512">
        <v>14</v>
      </c>
    </row>
    <row customHeight="1" ht="48.29999999999999">
      <c r="D8" s="515"/>
      <c r="E8" s="538" t="s">
        <v>91</v>
      </c>
      <c r="F8" s="888"/>
      <c r="G8" s="530" t="s">
        <v>89</v>
      </c>
      <c r="H8" s="530" t="s">
        <v>90</v>
      </c>
      <c r="I8" s="479" t="s">
        <v>88</v>
      </c>
      <c r="J8" s="479" t="s">
        <v>408</v>
      </c>
      <c r="K8" s="479" t="s">
        <v>409</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410</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533" customFormat="1" customHeight="1" ht="15">
      <c r="A12" s="2164"/>
      <c r="B12" s="569"/>
      <c r="C12" s="569"/>
      <c r="D12" s="931"/>
      <c r="E12" s="888">
        <v>1</v>
      </c>
      <c r="F12" s="929">
        <v>23</v>
      </c>
      <c r="G12" s="928"/>
      <c r="H12" s="858"/>
      <c r="I12" s="856"/>
      <c r="J12" s="585" t="s">
        <v>64</v>
      </c>
      <c r="K12" s="1229" t="s">
        <v>28</v>
      </c>
      <c r="L12" s="2306"/>
      <c r="M12" s="576"/>
      <c r="N12" s="576"/>
      <c r="O12" s="576"/>
      <c r="P12" s="581" t="s">
        <v>411</v>
      </c>
      <c r="Q12" s="581" t="s">
        <v>412</v>
      </c>
      <c r="R12" s="582" t="s">
        <v>413</v>
      </c>
      <c r="S12" s="576" t="s">
        <v>414</v>
      </c>
      <c r="T12" s="576"/>
      <c r="U12" s="576"/>
      <c r="V12" s="576"/>
      <c r="W12" s="545">
        <v>14</v>
      </c>
    </row>
    <row customHeight="1" ht="15.75">
      <c r="A13" s="2164"/>
      <c r="B13" s="570"/>
      <c r="D13" s="571"/>
      <c r="E13" s="470"/>
      <c r="F13" s="594"/>
      <c r="G13" s="481" t="s">
        <v>105</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85</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D15D4-2BF6-76AD-DD29-09CA6A81728A}"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2.00390625" hidden="1" customWidth="1"/>
    <col min="10" max="10" style="4903" width="9.8515625" hidden="1" customWidth="1"/>
    <col min="11" max="11" style="4903" width="11.4218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5.00390625" customWidth="1"/>
    <col min="21" max="21" style="4921" width="0.140625" customWidth="1"/>
    <col min="22" max="22" style="4921" width="24.7109375" hidden="1" customWidth="1"/>
    <col min="23" max="23" style="4921" width="0.140625" hidden="1" customWidth="1"/>
    <col min="24" max="25" style="4921" width="24.710937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24.7109375" customWidth="1"/>
    <col min="31" max="31" style="4921" width="0.140625" customWidth="1"/>
    <col min="32" max="33" style="4921" width="24.00390625" customWidth="1"/>
    <col min="34" max="34" style="4921" width="16.00390625" customWidth="1"/>
    <col min="35" max="35" style="4921" width="3.7109375" customWidth="1"/>
    <col min="36" max="36" style="4921" width="14.140625" customWidth="1"/>
    <col min="37" max="37" style="4921" width="8.57421875" customWidth="1"/>
    <col min="44" max="44" style="127" width="14.7109375" customWidth="1"/>
    <col min="45" max="45" style="127" width="10.57421875" hidden="1"/>
    <col min="46" max="46" style="4921" width="4.00390625" customWidth="1"/>
    <col min="47" max="47" style="4921" width="115.00390625" customWidth="1"/>
    <col min="48" max="52" style="4423" width="10.00390625" customWidth="1"/>
    <col min="53" max="53" style="4921" width="10.57421875" hidden="1"/>
  </cols>
  <sheetData>
    <row customHeight="1" ht="22.5" hidden="1">
      <c r="Y1" s="392"/>
      <c r="Z1" s="392"/>
      <c r="AG1" s="392"/>
      <c r="AH1" s="392"/>
      <c r="AL1" s="4921"/>
      <c r="AM1" s="4921"/>
      <c r="AN1" s="4921"/>
      <c r="AO1" s="4921"/>
      <c r="AP1" s="4921"/>
      <c r="AQ1" s="4921"/>
      <c r="AR1" s="5908"/>
      <c r="AS1" s="5908"/>
      <c r="BA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922"/>
      <c r="AM2" s="4210"/>
      <c r="AN2" s="4210"/>
      <c r="AO2" s="4210"/>
      <c r="AP2" s="4210"/>
      <c r="AQ2" s="4210"/>
      <c r="AR2" s="5909"/>
      <c r="AS2" s="5910"/>
      <c r="AT2" s="2309"/>
      <c r="AU2" s="1323" t="s">
        <v>415</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416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922"/>
      <c r="AM3" s="4210"/>
      <c r="AN3" s="4210"/>
      <c r="AO3" s="4210"/>
      <c r="AP3" s="4210"/>
      <c r="AQ3" s="4210"/>
      <c r="AR3" s="5909"/>
      <c r="AS3" s="5910"/>
      <c r="AT3" s="2309"/>
      <c r="AU3" s="1323" t="s">
        <v>417</v>
      </c>
      <c r="AW3" s="565"/>
      <c r="AX3" s="565" t="str">
        <f>IF(T3="","",T3)</f>
        <v>Территория действия тарифа</v>
      </c>
      <c r="AY3" s="565"/>
      <c r="AZ3" s="565"/>
      <c r="BA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418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922"/>
      <c r="AM4" s="4210"/>
      <c r="AN4" s="4210"/>
      <c r="AO4" s="4210"/>
      <c r="AP4" s="4210"/>
      <c r="AQ4" s="4210"/>
      <c r="AR4" s="5909"/>
      <c r="AS4" s="5910"/>
      <c r="AT4" s="2309"/>
      <c r="AU4" s="1323" t="s">
        <v>419</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420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922"/>
      <c r="AM5" s="4210"/>
      <c r="AN5" s="4210"/>
      <c r="AO5" s="4210"/>
      <c r="AP5" s="4210"/>
      <c r="AQ5" s="4210"/>
      <c r="AR5" s="5909"/>
      <c r="AS5" s="5910"/>
      <c r="AT5" s="2309"/>
      <c r="AU5" s="1323" t="s">
        <v>421</v>
      </c>
      <c r="AW5" s="565"/>
      <c r="AX5" s="565" t="str">
        <f>IF(T5="","",T5)</f>
        <v>Источник тепловой энергии  </v>
      </c>
      <c r="AY5" s="565"/>
      <c r="AZ5" s="565"/>
      <c r="BA5" s="1220">
        <v>0</v>
      </c>
    </row>
    <row customHeight="1" ht="47.25" hidden="1">
      <c r="A6" s="1428"/>
      <c r="B6" s="1428"/>
      <c r="C6" s="1428"/>
      <c r="D6" s="1428"/>
      <c r="E6" s="2324"/>
      <c r="F6" s="2324"/>
      <c r="G6" s="2324"/>
      <c r="H6" s="2324"/>
      <c r="I6" s="2321">
        <f>S5&amp;".1"</f>
      </c>
      <c r="J6" s="1428"/>
      <c r="K6" s="1428"/>
      <c r="L6" s="1429" t="s">
        <v>422</v>
      </c>
      <c r="M6" s="602"/>
      <c r="P6" s="2322">
        <v>1</v>
      </c>
      <c r="Q6" s="1370"/>
      <c r="R6" s="421"/>
      <c r="S6" s="1374">
        <f>$I6</f>
      </c>
      <c r="T6" s="350" t="s">
        <v>423</v>
      </c>
      <c r="U6" s="365"/>
      <c r="V6" s="2310"/>
      <c r="W6" s="2311"/>
      <c r="X6" s="2311"/>
      <c r="Y6" s="2311"/>
      <c r="Z6" s="2311"/>
      <c r="AA6" s="2311"/>
      <c r="AB6" s="2311"/>
      <c r="AC6" s="2312"/>
      <c r="AD6" s="2310"/>
      <c r="AE6" s="2311"/>
      <c r="AF6" s="2311"/>
      <c r="AG6" s="2311"/>
      <c r="AH6" s="2311"/>
      <c r="AI6" s="2311"/>
      <c r="AJ6" s="2311"/>
      <c r="AK6" s="2311"/>
      <c r="AL6" s="5289"/>
      <c r="AM6" s="3956"/>
      <c r="AN6" s="3956"/>
      <c r="AO6" s="3956"/>
      <c r="AP6" s="3956"/>
      <c r="AQ6" s="3956"/>
      <c r="AR6" s="5911"/>
      <c r="AS6" s="5912"/>
      <c r="AT6" s="2312"/>
      <c r="AU6" s="1323" t="s">
        <v>424</v>
      </c>
      <c r="AW6" s="565"/>
      <c r="AX6" s="565" t="str">
        <f>IF(T6="","",T6)</f>
        <v>Схема подключения теплопотребляющей установки к коллектору источника тепловой энергии</v>
      </c>
      <c r="AY6" s="565"/>
      <c r="AZ6" s="565"/>
      <c r="BA6" s="1220">
        <v>0</v>
      </c>
    </row>
    <row customHeight="1" ht="21" hidden="1">
      <c r="A7" s="1428"/>
      <c r="B7" s="1428"/>
      <c r="C7" s="1428"/>
      <c r="D7" s="1428"/>
      <c r="E7" s="2324"/>
      <c r="F7" s="2324"/>
      <c r="G7" s="2324"/>
      <c r="H7" s="2324"/>
      <c r="I7" s="2351"/>
      <c r="J7" s="2321">
        <f>I6&amp;".1"</f>
      </c>
      <c r="K7" s="1428"/>
      <c r="L7" s="1429" t="s">
        <v>425</v>
      </c>
      <c r="M7" s="602"/>
      <c r="N7" s="1431"/>
      <c r="P7" s="2322"/>
      <c r="Q7" s="2322">
        <v>1</v>
      </c>
      <c r="R7" s="422"/>
      <c r="S7" s="1374">
        <f>$J7</f>
      </c>
      <c r="T7" s="351" t="s">
        <v>426</v>
      </c>
      <c r="U7" s="365"/>
      <c r="V7" s="2310"/>
      <c r="W7" s="2311"/>
      <c r="X7" s="2311"/>
      <c r="Y7" s="2311"/>
      <c r="Z7" s="2311"/>
      <c r="AA7" s="2311"/>
      <c r="AB7" s="2311"/>
      <c r="AC7" s="2312"/>
      <c r="AD7" s="2310"/>
      <c r="AE7" s="2311"/>
      <c r="AF7" s="2311"/>
      <c r="AG7" s="2311"/>
      <c r="AH7" s="2311"/>
      <c r="AI7" s="2311"/>
      <c r="AJ7" s="2311"/>
      <c r="AK7" s="2311"/>
      <c r="AL7" s="5289"/>
      <c r="AM7" s="3956"/>
      <c r="AN7" s="3956"/>
      <c r="AO7" s="3956"/>
      <c r="AP7" s="3956"/>
      <c r="AQ7" s="3956"/>
      <c r="AR7" s="5911"/>
      <c r="AS7" s="5912"/>
      <c r="AT7" s="2312"/>
      <c r="AU7" s="1323" t="s">
        <v>427</v>
      </c>
      <c r="AW7" s="565"/>
      <c r="AX7" s="565" t="str">
        <f>IF(T7="","",T7)</f>
        <v>Группа потребителей</v>
      </c>
      <c r="AY7" s="565"/>
      <c r="AZ7" s="565"/>
      <c r="BA7" s="1220">
        <v>0</v>
      </c>
    </row>
    <row customHeight="1" ht="21" hidden="1">
      <c r="A8" s="1428"/>
      <c r="B8" s="1428"/>
      <c r="C8" s="1428"/>
      <c r="D8" s="1428"/>
      <c r="E8" s="2324"/>
      <c r="F8" s="2324"/>
      <c r="G8" s="2324"/>
      <c r="H8" s="2324"/>
      <c r="I8" s="2351"/>
      <c r="J8" s="2351"/>
      <c r="K8" s="2321">
        <f>J7&amp;".1"</f>
      </c>
      <c r="L8" s="1429" t="s">
        <v>428</v>
      </c>
      <c r="M8" s="602"/>
      <c r="N8" s="1431"/>
      <c r="O8" s="1431"/>
      <c r="P8" s="2322"/>
      <c r="Q8" s="2322"/>
      <c r="R8" s="422">
        <v>1</v>
      </c>
      <c r="S8" s="1374">
        <f>$K8</f>
      </c>
      <c r="T8" s="1412"/>
      <c r="U8" s="365"/>
      <c r="V8" s="816"/>
      <c r="W8" s="390"/>
      <c r="X8" s="816"/>
      <c r="Y8" s="1322"/>
      <c r="Z8" s="2330"/>
      <c r="AA8" s="2172" t="s">
        <v>64</v>
      </c>
      <c r="AB8" s="2330"/>
      <c r="AC8" s="2172" t="s">
        <v>64</v>
      </c>
      <c r="AD8" s="816"/>
      <c r="AE8" s="390"/>
      <c r="AF8" s="816"/>
      <c r="AG8" s="1322"/>
      <c r="AH8" s="2330"/>
      <c r="AI8" s="2172" t="s">
        <v>64</v>
      </c>
      <c r="AJ8" s="2330"/>
      <c r="AK8" s="2172" t="s">
        <v>64</v>
      </c>
      <c r="AL8" s="4296"/>
      <c r="AM8" s="3966"/>
      <c r="AN8" s="4296"/>
      <c r="AO8" s="3965"/>
      <c r="AP8" s="5608"/>
      <c r="AQ8" s="4650" t="s">
        <v>64</v>
      </c>
      <c r="AR8" s="5913"/>
      <c r="AS8" s="5914" t="s">
        <v>64</v>
      </c>
      <c r="AT8" s="390"/>
      <c r="AU8" s="2318" t="s">
        <v>429</v>
      </c>
      <c r="AV8" s="576">
        <f>STRCHECKDATE(V9:AT9)</f>
      </c>
      <c r="AW8" s="565"/>
      <c r="AX8" s="565" t="str">
        <f>IF(T8="","",T8)</f>
        <v/>
      </c>
      <c r="AY8" s="565"/>
      <c r="AZ8" s="565"/>
      <c r="BA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66"/>
      <c r="AM9" s="3966"/>
      <c r="AN9" s="3966"/>
      <c r="AO9" s="3976" t="str">
        <f>AP8&amp;"-"&amp;AR8</f>
        <v>-</v>
      </c>
      <c r="AP9" s="5453"/>
      <c r="AQ9" s="4650"/>
      <c r="AR9" s="5915"/>
      <c r="AS9" s="4650"/>
      <c r="AT9" s="390"/>
      <c r="AU9" s="2319"/>
      <c r="AW9" s="565"/>
      <c r="AX9" s="565" t="str">
        <f>IF(T9="","",T9)</f>
        <v/>
      </c>
      <c r="AY9" s="565"/>
      <c r="AZ9" s="565"/>
      <c r="BA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430</v>
      </c>
      <c r="U10" s="432"/>
      <c r="V10" s="432"/>
      <c r="W10" s="432"/>
      <c r="X10" s="432"/>
      <c r="Y10" s="432"/>
      <c r="Z10" s="432"/>
      <c r="AA10" s="432"/>
      <c r="AB10" s="432"/>
      <c r="AC10" s="432"/>
      <c r="AD10" s="432"/>
      <c r="AE10" s="432"/>
      <c r="AF10" s="432"/>
      <c r="AG10" s="432"/>
      <c r="AH10" s="432"/>
      <c r="AI10" s="432"/>
      <c r="AJ10" s="432"/>
      <c r="AK10" s="432"/>
      <c r="AL10" s="5669"/>
      <c r="AM10" s="5670"/>
      <c r="AN10" s="5671"/>
      <c r="AO10" s="5672"/>
      <c r="AP10" s="5673"/>
      <c r="AQ10" s="5674"/>
      <c r="AR10" s="5916"/>
      <c r="AS10" s="5917"/>
      <c r="AT10" s="389"/>
      <c r="AU10" s="2320"/>
      <c r="AW10" s="565"/>
      <c r="AX10" s="565" t="str">
        <f>IF(T10="","",T10)</f>
        <v>Добавить вид теплоносителя (параметры теплоносителя)</v>
      </c>
      <c r="AY10" s="565"/>
      <c r="AZ10" s="565"/>
      <c r="BA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431</v>
      </c>
      <c r="U11" s="432"/>
      <c r="V11" s="432"/>
      <c r="W11" s="432"/>
      <c r="X11" s="432"/>
      <c r="Y11" s="432"/>
      <c r="Z11" s="432"/>
      <c r="AA11" s="432"/>
      <c r="AB11" s="432"/>
      <c r="AC11" s="431"/>
      <c r="AD11" s="432"/>
      <c r="AE11" s="432"/>
      <c r="AF11" s="432"/>
      <c r="AG11" s="432"/>
      <c r="AH11" s="432"/>
      <c r="AI11" s="432"/>
      <c r="AJ11" s="432"/>
      <c r="AK11" s="431"/>
      <c r="AL11" s="5677"/>
      <c r="AM11" s="5678"/>
      <c r="AN11" s="5679"/>
      <c r="AO11" s="5680"/>
      <c r="AP11" s="5681"/>
      <c r="AQ11" s="5682"/>
      <c r="AR11" s="5918"/>
      <c r="AS11" s="5919"/>
      <c r="AT11" s="432"/>
      <c r="AU11" s="368"/>
      <c r="AW11" s="565"/>
      <c r="AX11" s="565" t="str">
        <f>IF(T11="","",T11)</f>
        <v>Добавить группу потребителей</v>
      </c>
      <c r="AY11" s="565"/>
      <c r="AZ11" s="565"/>
      <c r="BA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432</v>
      </c>
      <c r="U12" s="432"/>
      <c r="V12" s="432"/>
      <c r="W12" s="432"/>
      <c r="X12" s="432"/>
      <c r="Y12" s="432"/>
      <c r="Z12" s="432"/>
      <c r="AA12" s="432"/>
      <c r="AB12" s="432"/>
      <c r="AC12" s="431"/>
      <c r="AD12" s="432"/>
      <c r="AE12" s="432"/>
      <c r="AF12" s="432"/>
      <c r="AG12" s="432"/>
      <c r="AH12" s="432"/>
      <c r="AI12" s="432"/>
      <c r="AJ12" s="432"/>
      <c r="AK12" s="431"/>
      <c r="AL12" s="5685"/>
      <c r="AM12" s="5686"/>
      <c r="AN12" s="5687"/>
      <c r="AO12" s="5688"/>
      <c r="AP12" s="5689"/>
      <c r="AQ12" s="5690"/>
      <c r="AR12" s="5920"/>
      <c r="AS12" s="5921"/>
      <c r="AT12" s="432"/>
      <c r="AU12" s="368"/>
      <c r="AW12" s="565"/>
      <c r="AX12" s="565" t="str">
        <f>IF(T12="","",T12)</f>
        <v>Добавить схему подключения</v>
      </c>
      <c r="AY12" s="565"/>
      <c r="AZ12" s="565"/>
      <c r="BA12" s="1220">
        <v>0</v>
      </c>
    </row>
    <row s="4423"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165</v>
      </c>
      <c r="U13" s="1385"/>
      <c r="V13" s="1385"/>
      <c r="W13" s="1385"/>
      <c r="X13" s="1385"/>
      <c r="Y13" s="1385"/>
      <c r="Z13" s="1385"/>
      <c r="AA13" s="1385"/>
      <c r="AB13" s="1385"/>
      <c r="AC13" s="1385"/>
      <c r="AD13" s="1385"/>
      <c r="AE13" s="1385"/>
      <c r="AF13" s="1385"/>
      <c r="AG13" s="1385"/>
      <c r="AH13" s="1385"/>
      <c r="AI13" s="1385"/>
      <c r="AJ13" s="1385"/>
      <c r="AK13" s="1385"/>
      <c r="AL13" s="4099"/>
      <c r="AM13" s="4099"/>
      <c r="AN13" s="4099"/>
      <c r="AO13" s="4099"/>
      <c r="AP13" s="4099"/>
      <c r="AQ13" s="4099"/>
      <c r="AR13" s="5922"/>
      <c r="AS13" s="5922"/>
      <c r="AT13" s="1385"/>
      <c r="AU13" s="1385"/>
      <c r="AW13" s="854"/>
      <c r="AX13" s="854" t="str">
        <f>IF(T13="","",T13)</f>
        <v>Добавить источник для дифференциации</v>
      </c>
      <c r="AY13" s="854"/>
      <c r="AZ13" s="854"/>
      <c r="BA13" s="583">
        <v>0</v>
      </c>
    </row>
    <row s="4423"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166</v>
      </c>
      <c r="U14" s="1389"/>
      <c r="V14" s="1389"/>
      <c r="W14" s="1389"/>
      <c r="X14" s="1389"/>
      <c r="Y14" s="1389"/>
      <c r="Z14" s="1389"/>
      <c r="AA14" s="1389"/>
      <c r="AB14" s="1389"/>
      <c r="AC14" s="1389"/>
      <c r="AD14" s="1389"/>
      <c r="AE14" s="1389"/>
      <c r="AF14" s="1389"/>
      <c r="AG14" s="1389"/>
      <c r="AH14" s="1389"/>
      <c r="AI14" s="1389"/>
      <c r="AJ14" s="1389"/>
      <c r="AK14" s="1389"/>
      <c r="AL14" s="4673"/>
      <c r="AM14" s="4673"/>
      <c r="AN14" s="4673"/>
      <c r="AO14" s="4673"/>
      <c r="AP14" s="4673"/>
      <c r="AQ14" s="4673"/>
      <c r="AR14" s="5923"/>
      <c r="AS14" s="5923"/>
      <c r="AT14" s="1389"/>
      <c r="AU14" s="1389"/>
      <c r="AW14" s="854"/>
      <c r="AX14" s="854" t="str">
        <f>IF(T14="","",T14)</f>
        <v>Добавить централизованную систему для дифференциации</v>
      </c>
      <c r="AY14" s="854"/>
      <c r="AZ14" s="854"/>
      <c r="BA14" s="583">
        <v>0</v>
      </c>
    </row>
    <row s="4423"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167</v>
      </c>
      <c r="U15" s="1389"/>
      <c r="V15" s="1389"/>
      <c r="W15" s="1389"/>
      <c r="X15" s="1389"/>
      <c r="Y15" s="1389"/>
      <c r="Z15" s="1389"/>
      <c r="AA15" s="1389"/>
      <c r="AB15" s="1389"/>
      <c r="AC15" s="1389"/>
      <c r="AD15" s="1389"/>
      <c r="AE15" s="1389"/>
      <c r="AF15" s="1389"/>
      <c r="AG15" s="1389"/>
      <c r="AH15" s="1389"/>
      <c r="AI15" s="1389"/>
      <c r="AJ15" s="1389"/>
      <c r="AK15" s="1389"/>
      <c r="AL15" s="4673"/>
      <c r="AM15" s="4673"/>
      <c r="AN15" s="4673"/>
      <c r="AO15" s="4673"/>
      <c r="AP15" s="4673"/>
      <c r="AQ15" s="4673"/>
      <c r="AR15" s="5923"/>
      <c r="AS15" s="5923"/>
      <c r="AT15" s="1389"/>
      <c r="AU15" s="1389"/>
      <c r="AW15" s="854"/>
      <c r="AX15" s="854" t="str">
        <f>IF(T15="","",T15)</f>
        <v>Добавить территорию для дифференциации</v>
      </c>
      <c r="AY15" s="854"/>
      <c r="AZ15" s="854"/>
      <c r="BA15" s="583">
        <v>0</v>
      </c>
    </row>
    <row customHeight="1" ht="14.25" hidden="1">
      <c r="AC16" s="392"/>
      <c r="AK16" s="392"/>
      <c r="AL16" s="4921"/>
      <c r="AM16" s="4921"/>
      <c r="AN16" s="4921"/>
      <c r="AO16" s="4921"/>
      <c r="AP16" s="4921"/>
      <c r="AQ16" s="4921"/>
      <c r="AR16" s="5908"/>
      <c r="AS16" s="5908"/>
      <c r="BA16" s="1220">
        <v>0</v>
      </c>
    </row>
    <row customHeight="1" ht="14.25" hidden="1">
      <c r="P17" s="1376"/>
      <c r="AD17" s="1425"/>
      <c r="AE17" s="1425"/>
      <c r="AF17" s="1425"/>
      <c r="AG17" s="1426"/>
      <c r="AH17" s="2332"/>
      <c r="AI17" s="2333" t="s">
        <v>64</v>
      </c>
      <c r="AJ17" s="2332"/>
      <c r="AK17" s="2333" t="s">
        <v>64</v>
      </c>
      <c r="AL17" s="4921"/>
      <c r="AM17" s="4921"/>
      <c r="AN17" s="4921"/>
      <c r="AO17" s="4921"/>
      <c r="AP17" s="4921"/>
      <c r="AQ17" s="4921"/>
      <c r="AR17" s="5908"/>
      <c r="AS17" s="5908"/>
      <c r="BA17" s="1220">
        <v>0</v>
      </c>
    </row>
    <row customHeight="1" ht="14.25" hidden="1">
      <c r="P18" s="1376"/>
      <c r="AD18" s="1425"/>
      <c r="AE18" s="1425"/>
      <c r="AF18" s="1425"/>
      <c r="AG18" s="393" t="str">
        <f>AH17&amp;"-"&amp;AJ17</f>
        <v>-</v>
      </c>
      <c r="AH18" s="2333"/>
      <c r="AI18" s="2333"/>
      <c r="AJ18" s="2333"/>
      <c r="AK18" s="2333"/>
      <c r="AL18" s="4921"/>
      <c r="AM18" s="4921"/>
      <c r="AN18" s="4921"/>
      <c r="AO18" s="4921"/>
      <c r="AP18" s="4921"/>
      <c r="AQ18" s="4921"/>
      <c r="AR18" s="5908"/>
      <c r="AS18" s="5908"/>
      <c r="BA18" s="1220">
        <v>0</v>
      </c>
    </row>
    <row customHeight="1" ht="14.25" hidden="1">
      <c r="P19" s="1376"/>
      <c r="AK19" s="392"/>
      <c r="AL19" s="4921"/>
      <c r="AM19" s="4921"/>
      <c r="AN19" s="4921"/>
      <c r="AO19" s="4921"/>
      <c r="AP19" s="4921"/>
      <c r="AQ19" s="4921"/>
      <c r="AR19" s="5908"/>
      <c r="AS19" s="5908"/>
      <c r="BA19" s="1220">
        <v>0</v>
      </c>
    </row>
    <row s="4903" customFormat="1" customHeight="1" ht="22.5" hidden="1">
      <c r="L20" s="1394"/>
      <c r="M20" s="1427"/>
      <c r="N20" s="1427"/>
      <c r="O20" s="1432" t="s">
        <v>433</v>
      </c>
      <c r="P20" s="1427"/>
      <c r="Q20" s="1436"/>
      <c r="R20" s="1436"/>
      <c r="S20" s="794"/>
      <c r="Z20" s="1432"/>
      <c r="AB20" s="1432"/>
      <c r="AC20" s="1431"/>
      <c r="AH20" s="1432"/>
      <c r="AJ20" s="1432"/>
      <c r="AK20" s="1431"/>
      <c r="AL20" s="4903"/>
      <c r="AM20" s="4903"/>
      <c r="AN20" s="4903"/>
      <c r="AO20" s="4903"/>
      <c r="AP20" s="3715"/>
      <c r="AQ20" s="4903"/>
      <c r="AR20" s="5924"/>
      <c r="AS20" s="5925"/>
      <c r="AV20" s="576"/>
      <c r="AW20" s="576"/>
      <c r="AX20" s="576"/>
      <c r="AY20" s="576"/>
      <c r="AZ20" s="576"/>
      <c r="BA20" s="1225">
        <v>0</v>
      </c>
    </row>
    <row s="4903" customFormat="1" customHeight="1" ht="14.25" hidden="1">
      <c r="L21" s="1394"/>
      <c r="M21" s="1427"/>
      <c r="N21" s="1427"/>
      <c r="O21" s="1427"/>
      <c r="P21" s="1427"/>
      <c r="Q21" s="1436"/>
      <c r="R21" s="1436"/>
      <c r="S21" s="794"/>
      <c r="AC21" s="1431"/>
      <c r="AK21" s="1431"/>
      <c r="AL21" s="4903"/>
      <c r="AM21" s="4903"/>
      <c r="AN21" s="4903"/>
      <c r="AO21" s="4903"/>
      <c r="AP21" s="4903"/>
      <c r="AQ21" s="4903"/>
      <c r="AR21" s="5925"/>
      <c r="AS21" s="5925"/>
      <c r="AV21" s="576"/>
      <c r="AW21" s="576"/>
      <c r="AX21" s="576"/>
      <c r="AY21" s="576"/>
      <c r="AZ21" s="576"/>
      <c r="BA21" s="1225">
        <v>0</v>
      </c>
    </row>
    <row s="4903" customFormat="1" customHeight="1" ht="14.25" hidden="1">
      <c r="L22" s="1394"/>
      <c r="M22" s="1427"/>
      <c r="N22" s="1427"/>
      <c r="O22" s="1429" t="s">
        <v>434</v>
      </c>
      <c r="P22" s="1427"/>
      <c r="Q22" s="1436"/>
      <c r="R22" s="1436"/>
      <c r="S22" s="794"/>
      <c r="T22" s="1225" t="s">
        <v>435</v>
      </c>
      <c r="AA22" s="251" t="s">
        <v>436</v>
      </c>
      <c r="AC22" s="251" t="s">
        <v>437</v>
      </c>
      <c r="AD22" s="1225" t="s">
        <v>435</v>
      </c>
      <c r="AI22" s="251" t="s">
        <v>438</v>
      </c>
      <c r="AK22" s="251" t="s">
        <v>437</v>
      </c>
      <c r="AL22" s="4903"/>
      <c r="AM22" s="4903"/>
      <c r="AN22" s="4903"/>
      <c r="AO22" s="4903"/>
      <c r="AP22" s="4903"/>
      <c r="AQ22" s="3726" t="s">
        <v>436</v>
      </c>
      <c r="AR22" s="5925"/>
      <c r="AS22" s="5926" t="s">
        <v>437</v>
      </c>
      <c r="AV22" s="576"/>
      <c r="AW22" s="576"/>
      <c r="AX22" s="576"/>
      <c r="AY22" s="576"/>
      <c r="AZ22" s="576"/>
      <c r="BA22" s="1225">
        <v>0</v>
      </c>
    </row>
    <row customHeight="1" ht="14.25" hidden="1">
      <c r="O23" s="1429"/>
      <c r="P23" s="1376"/>
      <c r="AL23" s="4921"/>
      <c r="AM23" s="4921"/>
      <c r="AN23" s="4921"/>
      <c r="AO23" s="4921"/>
      <c r="AP23" s="4921"/>
      <c r="AQ23" s="4921"/>
      <c r="AR23" s="5908"/>
      <c r="AS23" s="5908"/>
      <c r="BA23" s="1220">
        <v>0</v>
      </c>
    </row>
    <row customHeight="1" ht="14.25" hidden="1">
      <c r="O24" s="1429"/>
      <c r="P24" s="1376"/>
      <c r="AL24" s="4921"/>
      <c r="AM24" s="4921"/>
      <c r="AN24" s="4921"/>
      <c r="AO24" s="4921"/>
      <c r="AP24" s="4921"/>
      <c r="AQ24" s="4921"/>
      <c r="AR24" s="5908"/>
      <c r="AS24" s="5908"/>
      <c r="BA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921"/>
      <c r="AM25" s="4921"/>
      <c r="AN25" s="4921"/>
      <c r="AO25" s="4921"/>
      <c r="AP25" s="4921"/>
      <c r="AQ25" s="4921"/>
      <c r="AR25" s="5908"/>
      <c r="AS25" s="5908"/>
      <c r="BA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L26" s="3722"/>
      <c r="AM26" s="3722"/>
      <c r="AN26" s="3722"/>
      <c r="AO26" s="3722"/>
      <c r="AP26" s="3722"/>
      <c r="AQ26" s="3722"/>
      <c r="AR26" s="5927"/>
      <c r="AS26" s="5927"/>
      <c r="BA26" s="1220">
        <v>14</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L27" s="3724"/>
      <c r="AM27" s="3724"/>
      <c r="AN27" s="3724"/>
      <c r="AO27" s="3724"/>
      <c r="AP27" s="3724"/>
      <c r="AQ27" s="3724"/>
      <c r="AR27" s="5928"/>
      <c r="AS27" s="5928"/>
      <c r="BA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3725"/>
      <c r="AM28" s="3725"/>
      <c r="AN28" s="3725"/>
      <c r="AO28" s="3725"/>
      <c r="AP28" s="3725"/>
      <c r="AQ28" s="3725"/>
      <c r="AR28" s="5929"/>
      <c r="AS28" s="5929"/>
      <c r="AT28" s="574"/>
      <c r="BA28" s="1220">
        <v>0</v>
      </c>
    </row>
    <row s="5485"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5158" t="str">
        <f>IF(TITLE_NAME_OR_PR_CHANGE="",IF(TITLE_NAME_OR_PR="","",TITLE_NAME_OR_PR),TITLE_NAME_OR_PR_CHANGE)</f>
        <v>Региональная тарифная комиссия Ставропольского края</v>
      </c>
      <c r="AM29" s="5158"/>
      <c r="AN29" s="5158"/>
      <c r="AO29" s="5158"/>
      <c r="AP29" s="5158"/>
      <c r="AQ29" s="5158"/>
      <c r="AR29" s="5930"/>
      <c r="AS29" s="5908"/>
      <c r="AT29" s="391"/>
      <c r="AU29" s="345"/>
      <c r="AV29" s="433"/>
      <c r="AW29" s="433"/>
      <c r="AX29" s="433"/>
      <c r="AY29" s="433"/>
      <c r="AZ29" s="433"/>
      <c r="BA29" s="483">
        <v>0</v>
      </c>
    </row>
    <row s="5485" customFormat="1" customHeight="1" ht="18.75">
      <c r="A30" s="1433"/>
      <c r="B30" s="1433"/>
      <c r="C30" s="1433"/>
      <c r="D30" s="1433"/>
      <c r="E30" s="1433"/>
      <c r="F30" s="1433"/>
      <c r="G30" s="1433"/>
      <c r="H30" s="1433"/>
      <c r="I30" s="1433"/>
      <c r="J30" s="1433"/>
      <c r="K30" s="1433"/>
      <c r="L30" s="1434"/>
      <c r="M30" s="1433"/>
      <c r="N30" s="1433"/>
      <c r="O30" s="1433"/>
      <c r="S30" s="2315" t="s">
        <v>439</v>
      </c>
      <c r="T30" s="2315"/>
      <c r="U30" s="1437"/>
      <c r="V30" s="2329" t="str">
        <f>IF(TITLE_DATE_PR_CHANGE="",IF(TITLE_DATE_PR="","",TITLE_DATE_PR),TITLE_DATE_PR_CHANGE)</f>
        <v>45643.434652777774</v>
      </c>
      <c r="W30" s="2329"/>
      <c r="X30" s="2329"/>
      <c r="Y30" s="2329"/>
      <c r="Z30" s="2329"/>
      <c r="AA30" s="2329"/>
      <c r="AB30" s="2329"/>
      <c r="AC30" s="391"/>
      <c r="AD30" s="2329" t="str">
        <f>IF(TITLE_DATE_PR_CHANGE="",IF(TITLE_DATE_PR="","",TITLE_DATE_PR),TITLE_DATE_PR_CHANGE)</f>
        <v>45643.434652777774</v>
      </c>
      <c r="AE30" s="2329"/>
      <c r="AF30" s="2329"/>
      <c r="AG30" s="2329"/>
      <c r="AH30" s="2329"/>
      <c r="AI30" s="2329"/>
      <c r="AJ30" s="2329"/>
      <c r="AK30" s="391"/>
      <c r="AL30" s="3735" t="str">
        <f>IF(TITLE_DATE_PR_CHANGE="",IF(TITLE_DATE_PR="","",TITLE_DATE_PR),TITLE_DATE_PR_CHANGE)</f>
        <v>45643.434652777774</v>
      </c>
      <c r="AM30" s="3735"/>
      <c r="AN30" s="3735"/>
      <c r="AO30" s="3735"/>
      <c r="AP30" s="3735"/>
      <c r="AQ30" s="3735"/>
      <c r="AR30" s="5931"/>
      <c r="AS30" s="5908"/>
      <c r="AT30" s="391"/>
      <c r="AU30" s="345"/>
      <c r="AV30" s="433"/>
      <c r="AW30" s="433"/>
      <c r="AX30" s="433"/>
      <c r="AY30" s="433"/>
      <c r="AZ30" s="433"/>
      <c r="BA30" s="483">
        <v>0</v>
      </c>
    </row>
    <row s="5485" customFormat="1" customHeight="1" ht="18.75">
      <c r="A31" s="1433"/>
      <c r="B31" s="1433"/>
      <c r="C31" s="1433"/>
      <c r="D31" s="1433"/>
      <c r="E31" s="1433"/>
      <c r="F31" s="1433"/>
      <c r="G31" s="1433"/>
      <c r="H31" s="1433"/>
      <c r="I31" s="1433"/>
      <c r="J31" s="1433"/>
      <c r="K31" s="1433"/>
      <c r="L31" s="1434"/>
      <c r="M31" s="1433"/>
      <c r="N31" s="1433"/>
      <c r="O31" s="1433"/>
      <c r="S31" s="2315" t="s">
        <v>440</v>
      </c>
      <c r="T31" s="2315"/>
      <c r="U31" s="1437"/>
      <c r="V31" s="2316" t="str">
        <f>IF(TITLE_NUMBER_PR_CHANGE="",IF(TITLE_NUMBER_PR="","",TITLE_NUMBER_PR),TITLE_NUMBER_PR_CHANGE)</f>
        <v>71/2</v>
      </c>
      <c r="W31" s="2316"/>
      <c r="X31" s="2316"/>
      <c r="Y31" s="2316"/>
      <c r="Z31" s="2316"/>
      <c r="AA31" s="2316"/>
      <c r="AB31" s="2316"/>
      <c r="AC31" s="391"/>
      <c r="AD31" s="2316" t="str">
        <f>IF(TITLE_NUMBER_PR_CHANGE="",IF(TITLE_NUMBER_PR="","",TITLE_NUMBER_PR),TITLE_NUMBER_PR_CHANGE)</f>
        <v>71/2</v>
      </c>
      <c r="AE31" s="2316"/>
      <c r="AF31" s="2316"/>
      <c r="AG31" s="2316"/>
      <c r="AH31" s="2316"/>
      <c r="AI31" s="2316"/>
      <c r="AJ31" s="2316"/>
      <c r="AK31" s="391"/>
      <c r="AL31" s="5158" t="str">
        <f>IF(TITLE_NUMBER_PR_CHANGE="",IF(TITLE_NUMBER_PR="","",TITLE_NUMBER_PR),TITLE_NUMBER_PR_CHANGE)</f>
        <v>71/2</v>
      </c>
      <c r="AM31" s="5158"/>
      <c r="AN31" s="5158"/>
      <c r="AO31" s="5158"/>
      <c r="AP31" s="5158"/>
      <c r="AQ31" s="5158"/>
      <c r="AR31" s="5930"/>
      <c r="AS31" s="5908"/>
      <c r="AT31" s="391"/>
      <c r="AU31" s="345"/>
      <c r="AV31" s="433"/>
      <c r="AW31" s="433"/>
      <c r="AX31" s="433"/>
      <c r="AY31" s="433"/>
      <c r="AZ31" s="433"/>
      <c r="BA31" s="483">
        <v>0</v>
      </c>
    </row>
    <row s="5485"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Официальный интернет-портал правовой информации Ставропольского края</v>
      </c>
      <c r="W32" s="2316"/>
      <c r="X32" s="2316"/>
      <c r="Y32" s="2316"/>
      <c r="Z32" s="2316"/>
      <c r="AA32" s="2316"/>
      <c r="AB32" s="2316"/>
      <c r="AC32" s="391"/>
      <c r="AD32" s="2316" t="str">
        <f>IF(TITLE_IST_PUB_CHANGE="",IF(TITLE_IST_PUB="","",TITLE_IST_PUB),TITLE_IST_PUB_CHANGE)</f>
        <v>Официальный интернет-портал правовой информации Ставропольского края</v>
      </c>
      <c r="AE32" s="2316"/>
      <c r="AF32" s="2316"/>
      <c r="AG32" s="2316"/>
      <c r="AH32" s="2316"/>
      <c r="AI32" s="2316"/>
      <c r="AJ32" s="2316"/>
      <c r="AK32" s="391"/>
      <c r="AL32" s="5158" t="str">
        <f>IF(TITLE_IST_PUB_CHANGE="",IF(TITLE_IST_PUB="","",TITLE_IST_PUB),TITLE_IST_PUB_CHANGE)</f>
        <v>Официальный интернет-портал правовой информации Ставропольского края</v>
      </c>
      <c r="AM32" s="5158"/>
      <c r="AN32" s="5158"/>
      <c r="AO32" s="5158"/>
      <c r="AP32" s="5158"/>
      <c r="AQ32" s="5158"/>
      <c r="AR32" s="5930"/>
      <c r="AS32" s="5908"/>
      <c r="AT32" s="391"/>
      <c r="AU32" s="345"/>
      <c r="AV32" s="433"/>
      <c r="AW32" s="433"/>
      <c r="AX32" s="433"/>
      <c r="AY32" s="433"/>
      <c r="AZ32" s="433"/>
      <c r="BA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3725"/>
      <c r="AM33" s="3725"/>
      <c r="AN33" s="3725"/>
      <c r="AO33" s="3725"/>
      <c r="AP33" s="3725"/>
      <c r="AQ33" s="3725"/>
      <c r="AR33" s="5929"/>
      <c r="AS33" s="5929"/>
      <c r="AT33" s="574"/>
      <c r="BA33" s="1220">
        <v>0</v>
      </c>
    </row>
    <row s="5485" customFormat="1" customHeight="1" ht="18.75" hidden="1">
      <c r="A34" s="1433"/>
      <c r="B34" s="1433"/>
      <c r="C34" s="1433"/>
      <c r="D34" s="1433"/>
      <c r="E34" s="1433"/>
      <c r="F34" s="1433"/>
      <c r="G34" s="1433"/>
      <c r="H34" s="1433"/>
      <c r="I34" s="1433"/>
      <c r="J34" s="1433"/>
      <c r="K34" s="1433"/>
      <c r="L34" s="1434"/>
      <c r="M34" s="1433"/>
      <c r="N34" s="1433"/>
      <c r="O34" s="1433"/>
      <c r="S34" s="2315" t="s">
        <v>441</v>
      </c>
      <c r="T34" s="2315"/>
      <c r="U34" s="1437"/>
      <c r="V34" s="2329" t="str">
        <f>IF(TITLE_DATE_PR_CHANGE="",IF(TITLE_DATE_PR="","",TITLE_DATE_PR),TITLE_DATE_PR_CHANGE)</f>
        <v>45643.434652777774</v>
      </c>
      <c r="W34" s="2329"/>
      <c r="X34" s="2329"/>
      <c r="Y34" s="2329"/>
      <c r="Z34" s="2329"/>
      <c r="AA34" s="2329"/>
      <c r="AB34" s="2329"/>
      <c r="AC34" s="391"/>
      <c r="AD34" s="2329" t="str">
        <f>IF(TITLE_DATE_PR_CHANGE="",IF(TITLE_DATE_PR="","",TITLE_DATE_PR),TITLE_DATE_PR_CHANGE)</f>
        <v>45643.434652777774</v>
      </c>
      <c r="AE34" s="2329"/>
      <c r="AF34" s="2329"/>
      <c r="AG34" s="2329"/>
      <c r="AH34" s="2329"/>
      <c r="AI34" s="2329"/>
      <c r="AJ34" s="2329"/>
      <c r="AK34" s="391"/>
      <c r="AL34" s="3735" t="str">
        <f>IF(TITLE_DATE_PR_CHANGE="",IF(TITLE_DATE_PR="","",TITLE_DATE_PR),TITLE_DATE_PR_CHANGE)</f>
        <v>45643.434652777774</v>
      </c>
      <c r="AM34" s="3735"/>
      <c r="AN34" s="3735"/>
      <c r="AO34" s="3735"/>
      <c r="AP34" s="3735"/>
      <c r="AQ34" s="3735"/>
      <c r="AR34" s="5931"/>
      <c r="AS34" s="5908"/>
      <c r="AT34" s="391"/>
      <c r="AU34" s="345"/>
      <c r="AV34" s="433"/>
      <c r="AW34" s="433"/>
      <c r="AX34" s="433"/>
      <c r="AY34" s="433"/>
      <c r="AZ34" s="433"/>
      <c r="BA34" s="483">
        <v>0</v>
      </c>
    </row>
    <row s="5485" customFormat="1" customHeight="1" ht="18.75" hidden="1">
      <c r="A35" s="1433"/>
      <c r="B35" s="1433"/>
      <c r="C35" s="1433"/>
      <c r="D35" s="1433"/>
      <c r="E35" s="1433"/>
      <c r="F35" s="1433"/>
      <c r="G35" s="1433"/>
      <c r="H35" s="1433"/>
      <c r="I35" s="1433"/>
      <c r="J35" s="1433"/>
      <c r="K35" s="1433"/>
      <c r="L35" s="1434"/>
      <c r="M35" s="1433"/>
      <c r="N35" s="1433"/>
      <c r="O35" s="1433"/>
      <c r="S35" s="2315" t="s">
        <v>442</v>
      </c>
      <c r="T35" s="2315"/>
      <c r="U35" s="1437"/>
      <c r="V35" s="2316" t="str">
        <f>IF(TITLE_NUMBER_PR_CHANGE="",IF(TITLE_NUMBER_PR="","",TITLE_NUMBER_PR),TITLE_NUMBER_PR_CHANGE)</f>
        <v>71/2</v>
      </c>
      <c r="W35" s="2316"/>
      <c r="X35" s="2316"/>
      <c r="Y35" s="2316"/>
      <c r="Z35" s="2316"/>
      <c r="AA35" s="2316"/>
      <c r="AB35" s="2316"/>
      <c r="AC35" s="391"/>
      <c r="AD35" s="2316" t="str">
        <f>IF(TITLE_NUMBER_PR_CHANGE="",IF(TITLE_NUMBER_PR="","",TITLE_NUMBER_PR),TITLE_NUMBER_PR_CHANGE)</f>
        <v>71/2</v>
      </c>
      <c r="AE35" s="2316"/>
      <c r="AF35" s="2316"/>
      <c r="AG35" s="2316"/>
      <c r="AH35" s="2316"/>
      <c r="AI35" s="2316"/>
      <c r="AJ35" s="2316"/>
      <c r="AK35" s="391"/>
      <c r="AL35" s="5158" t="str">
        <f>IF(TITLE_NUMBER_PR_CHANGE="",IF(TITLE_NUMBER_PR="","",TITLE_NUMBER_PR),TITLE_NUMBER_PR_CHANGE)</f>
        <v>71/2</v>
      </c>
      <c r="AM35" s="5158"/>
      <c r="AN35" s="5158"/>
      <c r="AO35" s="5158"/>
      <c r="AP35" s="5158"/>
      <c r="AQ35" s="5158"/>
      <c r="AR35" s="5930"/>
      <c r="AS35" s="5908"/>
      <c r="AT35" s="391"/>
      <c r="AU35" s="345"/>
      <c r="AV35" s="433"/>
      <c r="AW35" s="433"/>
      <c r="AX35" s="433"/>
      <c r="AY35" s="433"/>
      <c r="AZ35" s="433"/>
      <c r="BA35" s="483">
        <v>0</v>
      </c>
    </row>
    <row s="5485"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443</v>
      </c>
      <c r="AD36" s="391"/>
      <c r="AE36" s="391"/>
      <c r="AF36" s="391"/>
      <c r="AG36" s="391"/>
      <c r="AH36" s="391"/>
      <c r="AI36" s="391"/>
      <c r="AJ36" s="391"/>
      <c r="AK36" s="343" t="s">
        <v>443</v>
      </c>
      <c r="AL36" s="4921"/>
      <c r="AM36" s="4921"/>
      <c r="AN36" s="4921"/>
      <c r="AO36" s="4921"/>
      <c r="AP36" s="4921"/>
      <c r="AQ36" s="4921"/>
      <c r="AR36" s="5908"/>
      <c r="AS36" s="5932" t="s">
        <v>443</v>
      </c>
      <c r="AV36" s="433"/>
      <c r="AW36" s="433"/>
      <c r="AX36" s="433"/>
      <c r="AY36" s="433"/>
      <c r="AZ36" s="433"/>
      <c r="BA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4227" t="s">
        <v>193</v>
      </c>
      <c r="AM37" s="4227"/>
      <c r="AN37" s="4227"/>
      <c r="AO37" s="4227"/>
      <c r="AP37" s="4227"/>
      <c r="AQ37" s="4227"/>
      <c r="AR37" s="5933"/>
      <c r="AS37" s="5933"/>
      <c r="BA37" s="1220">
        <v>14</v>
      </c>
    </row>
    <row customHeight="1" ht="15">
      <c r="Q38" s="441"/>
      <c r="R38" s="441"/>
      <c r="S38" s="2192" t="s">
        <v>319</v>
      </c>
      <c r="T38" s="2192"/>
      <c r="U38" s="2192"/>
      <c r="V38" s="2192"/>
      <c r="W38" s="2192"/>
      <c r="X38" s="2192"/>
      <c r="Y38" s="2192"/>
      <c r="Z38" s="2192"/>
      <c r="AA38" s="2192"/>
      <c r="AB38" s="2192"/>
      <c r="AC38" s="2192"/>
      <c r="AD38" s="2192"/>
      <c r="AE38" s="2192"/>
      <c r="AF38" s="2192"/>
      <c r="AG38" s="2192"/>
      <c r="AH38" s="2192"/>
      <c r="AI38" s="2192"/>
      <c r="AJ38" s="2192"/>
      <c r="AK38" s="2192"/>
      <c r="AL38" s="5310" t="s">
        <v>319</v>
      </c>
      <c r="AM38" s="5310"/>
      <c r="AN38" s="5310"/>
      <c r="AO38" s="5310"/>
      <c r="AP38" s="5310"/>
      <c r="AQ38" s="5310"/>
      <c r="AR38" s="5934"/>
      <c r="AS38" s="5934"/>
      <c r="AT38" s="2192"/>
      <c r="AU38" s="2192"/>
      <c r="BA38" s="1220"/>
    </row>
    <row customHeight="1" ht="14.699999999999998">
      <c r="Q39" s="441"/>
      <c r="R39" s="441"/>
      <c r="S39" s="2338" t="s">
        <v>91</v>
      </c>
      <c r="T39" s="2274" t="s">
        <v>444</v>
      </c>
      <c r="U39" s="366"/>
      <c r="V39" s="2339" t="s">
        <v>445</v>
      </c>
      <c r="W39" s="2340"/>
      <c r="X39" s="2340"/>
      <c r="Y39" s="2340"/>
      <c r="Z39" s="2340"/>
      <c r="AA39" s="2340"/>
      <c r="AB39" s="2341"/>
      <c r="AC39" s="2342" t="s">
        <v>446</v>
      </c>
      <c r="AD39" s="2339" t="s">
        <v>445</v>
      </c>
      <c r="AE39" s="2340"/>
      <c r="AF39" s="2340"/>
      <c r="AG39" s="2340"/>
      <c r="AH39" s="2340"/>
      <c r="AI39" s="2340"/>
      <c r="AJ39" s="2341"/>
      <c r="AK39" s="2342" t="s">
        <v>447</v>
      </c>
      <c r="AL39" s="4660" t="s">
        <v>445</v>
      </c>
      <c r="AM39" s="4661"/>
      <c r="AN39" s="4661"/>
      <c r="AO39" s="4661"/>
      <c r="AP39" s="4661"/>
      <c r="AQ39" s="4661"/>
      <c r="AR39" s="5935"/>
      <c r="AS39" s="5936" t="s">
        <v>446</v>
      </c>
      <c r="AT39" s="2345" t="s">
        <v>448</v>
      </c>
      <c r="AU39" s="2192"/>
      <c r="BA39" s="1220">
        <v>14</v>
      </c>
    </row>
    <row customHeight="1" ht="35.699999999999996">
      <c r="Q40" s="441"/>
      <c r="R40" s="441"/>
      <c r="S40" s="2338"/>
      <c r="T40" s="2274"/>
      <c r="U40" s="1096"/>
      <c r="V40" s="2325" t="s">
        <v>449</v>
      </c>
      <c r="W40" s="2675" t="s">
        <v>450</v>
      </c>
      <c r="X40" s="2327" t="s">
        <v>451</v>
      </c>
      <c r="Y40" s="2328"/>
      <c r="Z40" s="2327" t="s">
        <v>452</v>
      </c>
      <c r="AA40" s="2334"/>
      <c r="AB40" s="2328"/>
      <c r="AC40" s="2343"/>
      <c r="AD40" s="2325" t="s">
        <v>449</v>
      </c>
      <c r="AE40" s="2348" t="s">
        <v>450</v>
      </c>
      <c r="AF40" s="2327" t="s">
        <v>451</v>
      </c>
      <c r="AG40" s="2328"/>
      <c r="AH40" s="2327" t="s">
        <v>452</v>
      </c>
      <c r="AI40" s="2334"/>
      <c r="AJ40" s="2328"/>
      <c r="AK40" s="2343"/>
      <c r="AL40" s="4997" t="s">
        <v>449</v>
      </c>
      <c r="AM40" s="3755" t="s">
        <v>450</v>
      </c>
      <c r="AN40" s="5167" t="s">
        <v>451</v>
      </c>
      <c r="AO40" s="4646"/>
      <c r="AP40" s="5167" t="s">
        <v>452</v>
      </c>
      <c r="AQ40" s="5179"/>
      <c r="AR40" s="5937"/>
      <c r="AS40" s="5938"/>
      <c r="AT40" s="2346"/>
      <c r="AU40" s="2192"/>
      <c r="BA40" s="1220">
        <v>34</v>
      </c>
    </row>
    <row customHeight="1" ht="35.699999999999996">
      <c r="A41" s="1435"/>
      <c r="B41" s="1435" t="s">
        <v>138</v>
      </c>
      <c r="C41" s="1435" t="s">
        <v>139</v>
      </c>
      <c r="D41" s="1435" t="s">
        <v>140</v>
      </c>
      <c r="E41" s="1429" t="s">
        <v>453</v>
      </c>
      <c r="F41" s="1429" t="s">
        <v>454</v>
      </c>
      <c r="G41" s="1429" t="s">
        <v>455</v>
      </c>
      <c r="H41" s="1429" t="s">
        <v>456</v>
      </c>
      <c r="I41" s="1429" t="s">
        <v>457</v>
      </c>
      <c r="J41" s="1429" t="s">
        <v>458</v>
      </c>
      <c r="K41" s="1429" t="s">
        <v>459</v>
      </c>
      <c r="L41" s="1429" t="s">
        <v>434</v>
      </c>
      <c r="Q41" s="441"/>
      <c r="R41" s="441"/>
      <c r="S41" s="2338"/>
      <c r="T41" s="2274"/>
      <c r="U41" s="367"/>
      <c r="V41" s="2326"/>
      <c r="W41" s="2349"/>
      <c r="X41" s="1287" t="s">
        <v>460</v>
      </c>
      <c r="Y41" s="1287" t="s">
        <v>461</v>
      </c>
      <c r="Z41" s="1286" t="s">
        <v>462</v>
      </c>
      <c r="AA41" s="2335" t="s">
        <v>463</v>
      </c>
      <c r="AB41" s="2336"/>
      <c r="AC41" s="2344"/>
      <c r="AD41" s="2326"/>
      <c r="AE41" s="2349"/>
      <c r="AF41" s="1287" t="s">
        <v>460</v>
      </c>
      <c r="AG41" s="1287" t="s">
        <v>461</v>
      </c>
      <c r="AH41" s="1378" t="s">
        <v>462</v>
      </c>
      <c r="AI41" s="2335" t="s">
        <v>463</v>
      </c>
      <c r="AJ41" s="2336"/>
      <c r="AK41" s="2344"/>
      <c r="AL41" s="5255"/>
      <c r="AM41" s="5256"/>
      <c r="AN41" s="5602" t="s">
        <v>460</v>
      </c>
      <c r="AO41" s="5602" t="s">
        <v>461</v>
      </c>
      <c r="AP41" s="5602" t="s">
        <v>462</v>
      </c>
      <c r="AQ41" s="4520" t="s">
        <v>463</v>
      </c>
      <c r="AR41" s="5939"/>
      <c r="AS41" s="5940"/>
      <c r="AT41" s="2347"/>
      <c r="AU41" s="2192"/>
      <c r="BA41" s="1220">
        <v>34</v>
      </c>
    </row>
    <row s="4094"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112</v>
      </c>
      <c r="T42" s="1320" t="s">
        <v>113</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5603">
        <f>OFFSET(AL42,0,-1)+1</f>
        <v>6</v>
      </c>
      <c r="AM42" s="5603"/>
      <c r="AN42" s="5603">
        <f>OFFSET(AN42,0,-1)+1</f>
        <v>1</v>
      </c>
      <c r="AO42" s="5603">
        <f>OFFSET(AO42,0,-1)+1</f>
        <v>2</v>
      </c>
      <c r="AP42" s="5603">
        <f>OFFSET(AP42,0,-1)+1</f>
        <v>3</v>
      </c>
      <c r="AQ42" s="5603">
        <f>OFFSET(AQ42,0,-1)+1</f>
        <v>4</v>
      </c>
      <c r="AR42" s="5941"/>
      <c r="AS42" s="5941">
        <f>OFFSET(AS42,0,-2)+1</f>
        <v>5</v>
      </c>
      <c r="AT42" s="1310">
        <f>OFFSET(AT42,0,-1)</f>
        <v>5</v>
      </c>
      <c r="AU42" s="1321">
        <f>OFFSET(AU42,0,-1)+1</f>
        <v>6</v>
      </c>
      <c r="AV42" s="576"/>
      <c r="AW42" s="576"/>
      <c r="AX42" s="576"/>
      <c r="AY42" s="576"/>
      <c r="AZ42" s="576"/>
      <c r="BA42" s="561">
        <v>0</v>
      </c>
    </row>
    <row customHeight="1" ht="24">
      <c r="A43" s="1428" t="s">
        <v>161</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1</v>
      </c>
      <c r="T43" s="363" t="s">
        <v>126</v>
      </c>
      <c r="U43" s="365"/>
      <c r="V43" s="2307"/>
      <c r="W43" s="2308"/>
      <c r="X43" s="2308"/>
      <c r="Y43" s="2308"/>
      <c r="Z43" s="2308"/>
      <c r="AA43" s="2308"/>
      <c r="AB43" s="2308"/>
      <c r="AC43" s="2309"/>
      <c r="AD43" s="2307" t="str">
        <f>INDEX(PT_DIFFERENTIATION_NTAR,MATCH(A43,PT_DIFFERENTIATION_NTAR_ID,0))</f>
        <v>Тариф на коллекторах источника тепловой энергии</v>
      </c>
      <c r="AE43" s="2308"/>
      <c r="AF43" s="2308"/>
      <c r="AG43" s="2308"/>
      <c r="AH43" s="2308"/>
      <c r="AI43" s="2308"/>
      <c r="AJ43" s="2308"/>
      <c r="AK43" s="2308"/>
      <c r="AL43" s="3922"/>
      <c r="AM43" s="4210"/>
      <c r="AN43" s="4210"/>
      <c r="AO43" s="4210"/>
      <c r="AP43" s="4210"/>
      <c r="AQ43" s="4210"/>
      <c r="AR43" s="5909"/>
      <c r="AS43" s="5910"/>
      <c r="AT43" s="2309"/>
      <c r="AU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5"/>
      <c r="AX43" s="565" t="str">
        <f>IF(T43="","",T43)</f>
        <v>Наименование тарифа</v>
      </c>
      <c r="AY43" s="565"/>
      <c r="AZ43" s="565"/>
      <c r="BA43" s="1220">
        <v>23</v>
      </c>
    </row>
    <row customHeight="1" ht="24">
      <c r="A44" s="1428" t="s">
        <v>161</v>
      </c>
      <c r="B44" s="1428" t="s">
        <v>162</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1.1</v>
      </c>
      <c r="T44" s="373" t="s">
        <v>416</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3922"/>
      <c r="AM44" s="4210"/>
      <c r="AN44" s="4210"/>
      <c r="AO44" s="4210"/>
      <c r="AP44" s="4210"/>
      <c r="AQ44" s="4210"/>
      <c r="AR44" s="5909"/>
      <c r="AS44" s="5910"/>
      <c r="AT44" s="2309"/>
      <c r="AU44" s="1323" t="s">
        <v>417</v>
      </c>
      <c r="AW44" s="565"/>
      <c r="AX44" s="565" t="str">
        <f>IF(T44="","",T44)</f>
        <v>Территория действия тарифа</v>
      </c>
      <c r="AY44" s="565"/>
      <c r="AZ44" s="565"/>
      <c r="BA44" s="1220">
        <v>23</v>
      </c>
    </row>
    <row customHeight="1" ht="24">
      <c r="A45" s="1428" t="s">
        <v>161</v>
      </c>
      <c r="B45" s="1428" t="s">
        <v>162</v>
      </c>
      <c r="C45" s="1428" t="s">
        <v>163</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1.1.1</v>
      </c>
      <c r="T45" s="374" t="s">
        <v>418</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3922"/>
      <c r="AM45" s="4210"/>
      <c r="AN45" s="4210"/>
      <c r="AO45" s="4210"/>
      <c r="AP45" s="4210"/>
      <c r="AQ45" s="4210"/>
      <c r="AR45" s="5909"/>
      <c r="AS45" s="5910"/>
      <c r="AT45" s="2309"/>
      <c r="AU45" s="1323" t="s">
        <v>419</v>
      </c>
      <c r="AW45" s="565"/>
      <c r="AX45" s="565" t="str">
        <f>IF(T45="","",T45)</f>
        <v>Наименование системы теплоснабжения </v>
      </c>
      <c r="AY45" s="565"/>
      <c r="AZ45" s="565"/>
      <c r="BA45" s="1220">
        <v>23</v>
      </c>
    </row>
    <row customHeight="1" ht="24">
      <c r="A46" s="1428" t="s">
        <v>161</v>
      </c>
      <c r="B46" s="1428" t="s">
        <v>162</v>
      </c>
      <c r="C46" s="1428" t="s">
        <v>163</v>
      </c>
      <c r="D46" s="1428" t="s">
        <v>164</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1.1.1.1</v>
      </c>
      <c r="T46" s="375" t="s">
        <v>420</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3922"/>
      <c r="AM46" s="4210"/>
      <c r="AN46" s="4210"/>
      <c r="AO46" s="4210"/>
      <c r="AP46" s="4210"/>
      <c r="AQ46" s="4210"/>
      <c r="AR46" s="5909"/>
      <c r="AS46" s="5910"/>
      <c r="AT46" s="2309"/>
      <c r="AU46" s="1323" t="s">
        <v>421</v>
      </c>
      <c r="AW46" s="565"/>
      <c r="AX46" s="565" t="str">
        <f>IF(T46="","",T46)</f>
        <v>Источник тепловой энергии  </v>
      </c>
      <c r="AY46" s="565"/>
      <c r="AZ46" s="565"/>
      <c r="BA46" s="1220">
        <v>23</v>
      </c>
    </row>
    <row customHeight="1" ht="49.5">
      <c r="A47" s="1428" t="s">
        <v>161</v>
      </c>
      <c r="B47" s="1428" t="s">
        <v>162</v>
      </c>
      <c r="C47" s="1428" t="s">
        <v>163</v>
      </c>
      <c r="D47" s="1428" t="s">
        <v>164</v>
      </c>
      <c r="E47" s="2324"/>
      <c r="F47" s="2324"/>
      <c r="G47" s="2324"/>
      <c r="H47" s="2324"/>
      <c r="I47" s="2321" t="str">
        <f>S46&amp;".1"</f>
        <v>1.1.1.1.1</v>
      </c>
      <c r="J47" s="1428"/>
      <c r="K47" s="1428"/>
      <c r="L47" s="1429" t="s">
        <v>422</v>
      </c>
      <c r="P47" s="2322">
        <v>1</v>
      </c>
      <c r="Q47" s="1285"/>
      <c r="R47" s="421"/>
      <c r="S47" s="1289" t="str">
        <f>$I47</f>
        <v>1.1.1.1.1</v>
      </c>
      <c r="T47" s="350" t="s">
        <v>423</v>
      </c>
      <c r="U47" s="365"/>
      <c r="V47" s="2310"/>
      <c r="W47" s="2311"/>
      <c r="X47" s="2311"/>
      <c r="Y47" s="2311"/>
      <c r="Z47" s="2311"/>
      <c r="AA47" s="2311"/>
      <c r="AB47" s="2311"/>
      <c r="AC47" s="2312"/>
      <c r="AD47" s="2310" t="s">
        <v>464</v>
      </c>
      <c r="AE47" s="2311"/>
      <c r="AF47" s="2311"/>
      <c r="AG47" s="2311"/>
      <c r="AH47" s="2311"/>
      <c r="AI47" s="2311"/>
      <c r="AJ47" s="2311"/>
      <c r="AK47" s="2311"/>
      <c r="AL47" s="5289"/>
      <c r="AM47" s="3956"/>
      <c r="AN47" s="3956"/>
      <c r="AO47" s="3956"/>
      <c r="AP47" s="3956"/>
      <c r="AQ47" s="3956"/>
      <c r="AR47" s="5911"/>
      <c r="AS47" s="5912"/>
      <c r="AT47" s="2312"/>
      <c r="AU47" s="1323" t="s">
        <v>424</v>
      </c>
      <c r="AW47" s="565"/>
      <c r="AX47" s="565" t="str">
        <f>IF(T47="","",T47)</f>
        <v>Схема подключения теплопотребляющей установки к коллектору источника тепловой энергии</v>
      </c>
      <c r="AY47" s="565"/>
      <c r="AZ47" s="565"/>
      <c r="BA47" s="1220">
        <v>47</v>
      </c>
    </row>
    <row customHeight="1" ht="24">
      <c r="A48" s="1428" t="s">
        <v>161</v>
      </c>
      <c r="B48" s="1428" t="s">
        <v>162</v>
      </c>
      <c r="C48" s="1428" t="s">
        <v>163</v>
      </c>
      <c r="D48" s="1428" t="s">
        <v>164</v>
      </c>
      <c r="E48" s="2324"/>
      <c r="F48" s="2324"/>
      <c r="G48" s="2324"/>
      <c r="H48" s="2324"/>
      <c r="I48" s="2351"/>
      <c r="J48" s="2321" t="str">
        <f>I47&amp;".1"</f>
        <v>1.1.1.1.1.1</v>
      </c>
      <c r="K48" s="1428"/>
      <c r="L48" s="1429" t="s">
        <v>425</v>
      </c>
      <c r="P48" s="2322"/>
      <c r="Q48" s="2322">
        <v>1</v>
      </c>
      <c r="R48" s="422"/>
      <c r="S48" s="1289" t="str">
        <f>$J48</f>
        <v>1.1.1.1.1.1</v>
      </c>
      <c r="T48" s="351" t="s">
        <v>426</v>
      </c>
      <c r="U48" s="365"/>
      <c r="V48" s="2310"/>
      <c r="W48" s="2311"/>
      <c r="X48" s="2311"/>
      <c r="Y48" s="2311"/>
      <c r="Z48" s="2311"/>
      <c r="AA48" s="2311"/>
      <c r="AB48" s="2311"/>
      <c r="AC48" s="2312"/>
      <c r="AD48" s="2310" t="s">
        <v>465</v>
      </c>
      <c r="AE48" s="2311"/>
      <c r="AF48" s="2311"/>
      <c r="AG48" s="2311"/>
      <c r="AH48" s="2311"/>
      <c r="AI48" s="2311"/>
      <c r="AJ48" s="2311"/>
      <c r="AK48" s="2311"/>
      <c r="AL48" s="5289"/>
      <c r="AM48" s="3956"/>
      <c r="AN48" s="3956"/>
      <c r="AO48" s="3956"/>
      <c r="AP48" s="3956"/>
      <c r="AQ48" s="3956"/>
      <c r="AR48" s="5911"/>
      <c r="AS48" s="5912"/>
      <c r="AT48" s="2312"/>
      <c r="AU48" s="1323" t="s">
        <v>427</v>
      </c>
      <c r="AW48" s="565"/>
      <c r="AX48" s="565" t="str">
        <f>IF(T48="","",T48)</f>
        <v>Группа потребителей</v>
      </c>
      <c r="AY48" s="565"/>
      <c r="AZ48" s="565"/>
      <c r="BA48" s="1220">
        <v>23</v>
      </c>
    </row>
    <row customHeight="1" ht="24">
      <c r="A49" s="1428" t="s">
        <v>161</v>
      </c>
      <c r="B49" s="1428" t="s">
        <v>162</v>
      </c>
      <c r="C49" s="1428" t="s">
        <v>163</v>
      </c>
      <c r="D49" s="1428" t="s">
        <v>164</v>
      </c>
      <c r="E49" s="2324"/>
      <c r="F49" s="2324"/>
      <c r="G49" s="2324"/>
      <c r="H49" s="2324"/>
      <c r="I49" s="2351"/>
      <c r="J49" s="2351"/>
      <c r="K49" s="2321" t="str">
        <f>J48&amp;".1"</f>
        <v>1.1.1.1.1.1.1</v>
      </c>
      <c r="L49" s="1429" t="s">
        <v>428</v>
      </c>
      <c r="P49" s="2322"/>
      <c r="Q49" s="2322"/>
      <c r="R49" s="422">
        <v>1</v>
      </c>
      <c r="S49" s="1289" t="str">
        <f>$K49</f>
        <v>1.1.1.1.1.1.1</v>
      </c>
      <c r="T49" s="1412" t="s">
        <v>466</v>
      </c>
      <c r="U49" s="365"/>
      <c r="V49" s="816"/>
      <c r="W49" s="390"/>
      <c r="X49" s="816"/>
      <c r="Y49" s="1322"/>
      <c r="Z49" s="2330"/>
      <c r="AA49" s="2172" t="s">
        <v>64</v>
      </c>
      <c r="AB49" s="2330"/>
      <c r="AC49" s="2172" t="s">
        <v>64</v>
      </c>
      <c r="AD49" s="816">
        <v>1442.09</v>
      </c>
      <c r="AE49" s="390"/>
      <c r="AF49" s="816"/>
      <c r="AG49" s="1322"/>
      <c r="AH49" s="3779">
        <v>45658.528912037036</v>
      </c>
      <c r="AI49" s="2172" t="s">
        <v>64</v>
      </c>
      <c r="AJ49" s="3830">
        <v>45838.52900462963</v>
      </c>
      <c r="AK49" s="2172" t="s">
        <v>64</v>
      </c>
      <c r="AL49" s="4296">
        <v>1761.05</v>
      </c>
      <c r="AM49" s="3966"/>
      <c r="AN49" s="4296"/>
      <c r="AO49" s="3965"/>
      <c r="AP49" s="5608">
        <v>45839.3925</v>
      </c>
      <c r="AQ49" s="4650" t="s">
        <v>64</v>
      </c>
      <c r="AR49" s="5608">
        <v>46022.392696759256</v>
      </c>
      <c r="AS49" s="4650" t="s">
        <v>64</v>
      </c>
      <c r="AT49" s="1413"/>
      <c r="AU49" s="2318" t="s">
        <v>429</v>
      </c>
      <c r="AV49" s="576">
        <f>STRCHECKDATE(V50:AT50)</f>
      </c>
      <c r="AW49" s="565"/>
      <c r="AX49" s="565" t="str">
        <f>IF(T49="","",T49)</f>
        <v>вода</v>
      </c>
      <c r="AY49" s="565"/>
      <c r="AZ49" s="565"/>
      <c r="BA49" s="1220">
        <v>23</v>
      </c>
    </row>
    <row customHeight="1" ht="1.05">
      <c r="A50" s="1428" t="s">
        <v>161</v>
      </c>
      <c r="B50" s="1428" t="s">
        <v>162</v>
      </c>
      <c r="C50" s="1428" t="s">
        <v>163</v>
      </c>
      <c r="D50" s="1428" t="s">
        <v>164</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45658.528912037036-45838.52900462963</v>
      </c>
      <c r="AH50" s="2331"/>
      <c r="AI50" s="2172"/>
      <c r="AJ50" s="2353"/>
      <c r="AK50" s="2172"/>
      <c r="AL50" s="3966"/>
      <c r="AM50" s="3966"/>
      <c r="AN50" s="3966"/>
      <c r="AO50" s="3976" t="str">
        <f>AP49&amp;"-"&amp;AR49</f>
        <v>45839.3925-46022.392696759256</v>
      </c>
      <c r="AP50" s="5453"/>
      <c r="AQ50" s="4650"/>
      <c r="AR50" s="5915"/>
      <c r="AS50" s="4650"/>
      <c r="AT50" s="1414"/>
      <c r="AU50" s="2319"/>
      <c r="AW50" s="565"/>
      <c r="AX50" s="565" t="str">
        <f>IF(T50="","",T50)</f>
        <v/>
      </c>
      <c r="AY50" s="565"/>
      <c r="AZ50" s="565"/>
      <c r="BA50" s="1220">
        <v>1</v>
      </c>
    </row>
    <row customHeight="1" ht="11.549999999999999">
      <c r="A51" s="1428" t="s">
        <v>161</v>
      </c>
      <c r="B51" s="1428" t="s">
        <v>162</v>
      </c>
      <c r="C51" s="1428" t="s">
        <v>163</v>
      </c>
      <c r="D51" s="1428" t="s">
        <v>164</v>
      </c>
      <c r="E51" s="2324"/>
      <c r="F51" s="2324"/>
      <c r="G51" s="2324"/>
      <c r="H51" s="2324"/>
      <c r="I51" s="2351"/>
      <c r="J51" s="2321"/>
      <c r="K51" s="1428"/>
      <c r="L51" s="1429"/>
      <c r="P51" s="2322"/>
      <c r="Q51" s="2322"/>
      <c r="R51" s="421"/>
      <c r="S51" s="1343"/>
      <c r="T51" s="353" t="s">
        <v>430</v>
      </c>
      <c r="U51" s="432"/>
      <c r="V51" s="432"/>
      <c r="W51" s="432"/>
      <c r="X51" s="432"/>
      <c r="Y51" s="432"/>
      <c r="Z51" s="432"/>
      <c r="AA51" s="432"/>
      <c r="AB51" s="432"/>
      <c r="AC51" s="432"/>
      <c r="AD51" s="432"/>
      <c r="AE51" s="432"/>
      <c r="AF51" s="432"/>
      <c r="AG51" s="432"/>
      <c r="AH51" s="432"/>
      <c r="AI51" s="432"/>
      <c r="AJ51" s="432"/>
      <c r="AK51" s="432"/>
      <c r="AL51" s="5693"/>
      <c r="AM51" s="5694"/>
      <c r="AN51" s="5695"/>
      <c r="AO51" s="5696"/>
      <c r="AP51" s="5697"/>
      <c r="AQ51" s="5698"/>
      <c r="AR51" s="5942"/>
      <c r="AS51" s="5943"/>
      <c r="AT51" s="389"/>
      <c r="AU51" s="2320"/>
      <c r="AW51" s="565"/>
      <c r="AX51" s="565" t="str">
        <f>IF(T51="","",T51)</f>
        <v>Добавить вид теплоносителя (параметры теплоносителя)</v>
      </c>
      <c r="AY51" s="565"/>
      <c r="AZ51" s="565"/>
      <c r="BA51" s="1220">
        <v>11</v>
      </c>
    </row>
    <row customHeight="1" ht="11.549999999999999">
      <c r="A52" s="1428" t="s">
        <v>161</v>
      </c>
      <c r="B52" s="1428" t="s">
        <v>162</v>
      </c>
      <c r="C52" s="1428" t="s">
        <v>163</v>
      </c>
      <c r="D52" s="1428" t="s">
        <v>164</v>
      </c>
      <c r="E52" s="2324"/>
      <c r="F52" s="2324"/>
      <c r="G52" s="2324"/>
      <c r="H52" s="2324"/>
      <c r="I52" s="2321"/>
      <c r="J52" s="1428"/>
      <c r="K52" s="1428"/>
      <c r="L52" s="1429"/>
      <c r="P52" s="2322"/>
      <c r="Q52" s="1285"/>
      <c r="R52" s="421"/>
      <c r="S52" s="1343"/>
      <c r="T52" s="352" t="s">
        <v>431</v>
      </c>
      <c r="U52" s="432"/>
      <c r="V52" s="432"/>
      <c r="W52" s="432"/>
      <c r="X52" s="432"/>
      <c r="Y52" s="432"/>
      <c r="Z52" s="432"/>
      <c r="AA52" s="432"/>
      <c r="AB52" s="432"/>
      <c r="AC52" s="431"/>
      <c r="AD52" s="432"/>
      <c r="AE52" s="432"/>
      <c r="AF52" s="432"/>
      <c r="AG52" s="432"/>
      <c r="AH52" s="432"/>
      <c r="AI52" s="432"/>
      <c r="AJ52" s="432"/>
      <c r="AK52" s="431"/>
      <c r="AL52" s="5701"/>
      <c r="AM52" s="5702"/>
      <c r="AN52" s="5703"/>
      <c r="AO52" s="5704"/>
      <c r="AP52" s="5705"/>
      <c r="AQ52" s="5706"/>
      <c r="AR52" s="5944"/>
      <c r="AS52" s="5945"/>
      <c r="AT52" s="432"/>
      <c r="AU52" s="368"/>
      <c r="AW52" s="565"/>
      <c r="AX52" s="565" t="str">
        <f>IF(T52="","",T52)</f>
        <v>Добавить группу потребителей</v>
      </c>
      <c r="AY52" s="565"/>
      <c r="AZ52" s="565"/>
      <c r="BA52" s="1220">
        <v>11</v>
      </c>
    </row>
    <row customHeight="1" ht="14.699999999999998">
      <c r="A53" s="1428" t="s">
        <v>161</v>
      </c>
      <c r="B53" s="1428" t="s">
        <v>162</v>
      </c>
      <c r="C53" s="1428" t="s">
        <v>163</v>
      </c>
      <c r="D53" s="1428" t="s">
        <v>164</v>
      </c>
      <c r="E53" s="2324"/>
      <c r="F53" s="2324"/>
      <c r="G53" s="2324"/>
      <c r="H53" s="2323"/>
      <c r="I53" s="1428"/>
      <c r="J53" s="1428"/>
      <c r="K53" s="1428"/>
      <c r="L53" s="1429"/>
      <c r="M53" s="1430"/>
      <c r="N53" s="1430"/>
      <c r="O53" s="602"/>
      <c r="P53" s="425"/>
      <c r="Q53" s="440"/>
      <c r="R53" s="420"/>
      <c r="S53" s="1343"/>
      <c r="T53" s="430" t="s">
        <v>432</v>
      </c>
      <c r="U53" s="432"/>
      <c r="V53" s="432"/>
      <c r="W53" s="432"/>
      <c r="X53" s="432"/>
      <c r="Y53" s="432"/>
      <c r="Z53" s="432"/>
      <c r="AA53" s="432"/>
      <c r="AB53" s="432"/>
      <c r="AC53" s="431"/>
      <c r="AD53" s="432"/>
      <c r="AE53" s="432"/>
      <c r="AF53" s="432"/>
      <c r="AG53" s="432"/>
      <c r="AH53" s="432"/>
      <c r="AI53" s="432"/>
      <c r="AJ53" s="432"/>
      <c r="AK53" s="431"/>
      <c r="AL53" s="5709"/>
      <c r="AM53" s="5710"/>
      <c r="AN53" s="5711"/>
      <c r="AO53" s="5712"/>
      <c r="AP53" s="5713"/>
      <c r="AQ53" s="5714"/>
      <c r="AR53" s="5946"/>
      <c r="AS53" s="5947"/>
      <c r="AT53" s="432"/>
      <c r="AU53" s="368"/>
      <c r="AW53" s="565"/>
      <c r="AX53" s="565" t="str">
        <f>IF(T53="","",T53)</f>
        <v>Добавить схему подключения</v>
      </c>
      <c r="AY53" s="565"/>
      <c r="AZ53" s="565"/>
      <c r="BA53" s="1220">
        <v>14</v>
      </c>
    </row>
    <row s="4423" customFormat="1" customHeight="1" ht="1.05">
      <c r="A54" s="1408" t="s">
        <v>161</v>
      </c>
      <c r="B54" s="1408" t="s">
        <v>162</v>
      </c>
      <c r="C54" s="1408" t="s">
        <v>163</v>
      </c>
      <c r="D54" s="1379"/>
      <c r="E54" s="2324"/>
      <c r="F54" s="2324"/>
      <c r="G54" s="2323"/>
      <c r="H54" s="1379"/>
      <c r="I54" s="1379"/>
      <c r="J54" s="1379"/>
      <c r="K54" s="1379"/>
      <c r="L54" s="1404"/>
      <c r="M54" s="1380"/>
      <c r="N54" s="1380"/>
      <c r="P54" s="1381"/>
      <c r="Q54" s="1382"/>
      <c r="R54" s="1381"/>
      <c r="S54" s="1387"/>
      <c r="T54" s="1390" t="s">
        <v>165</v>
      </c>
      <c r="U54" s="1389"/>
      <c r="V54" s="1389"/>
      <c r="W54" s="1389"/>
      <c r="X54" s="1389"/>
      <c r="Y54" s="1389"/>
      <c r="Z54" s="1389"/>
      <c r="AA54" s="1389"/>
      <c r="AB54" s="1389"/>
      <c r="AC54" s="1389"/>
      <c r="AD54" s="1389"/>
      <c r="AE54" s="1389"/>
      <c r="AF54" s="1389"/>
      <c r="AG54" s="1389"/>
      <c r="AH54" s="1389"/>
      <c r="AI54" s="1389"/>
      <c r="AJ54" s="1389"/>
      <c r="AK54" s="1389"/>
      <c r="AL54" s="4673"/>
      <c r="AM54" s="4673"/>
      <c r="AN54" s="4673"/>
      <c r="AO54" s="4673"/>
      <c r="AP54" s="4673"/>
      <c r="AQ54" s="4673"/>
      <c r="AR54" s="5923"/>
      <c r="AS54" s="5923"/>
      <c r="AT54" s="1389"/>
      <c r="AU54" s="1389"/>
      <c r="AW54" s="854"/>
      <c r="AX54" s="854" t="str">
        <f>IF(T54="","",T54)</f>
        <v>Добавить источник для дифференциации</v>
      </c>
      <c r="AY54" s="854"/>
      <c r="AZ54" s="854"/>
      <c r="BA54" s="583">
        <v>1</v>
      </c>
    </row>
    <row s="4423" customFormat="1" customHeight="1" ht="1.05">
      <c r="A55" s="1408" t="s">
        <v>161</v>
      </c>
      <c r="B55" s="1408" t="s">
        <v>162</v>
      </c>
      <c r="C55" s="1379"/>
      <c r="D55" s="1379"/>
      <c r="E55" s="2324"/>
      <c r="F55" s="2323"/>
      <c r="G55" s="1379"/>
      <c r="H55" s="1379"/>
      <c r="I55" s="1379"/>
      <c r="J55" s="1379"/>
      <c r="K55" s="1379"/>
      <c r="L55" s="1404"/>
      <c r="M55" s="1386"/>
      <c r="N55" s="1386"/>
      <c r="P55" s="1381"/>
      <c r="Q55" s="1382"/>
      <c r="R55" s="1381"/>
      <c r="S55" s="1387"/>
      <c r="T55" s="1390" t="s">
        <v>166</v>
      </c>
      <c r="U55" s="1389"/>
      <c r="V55" s="1389"/>
      <c r="W55" s="1389"/>
      <c r="X55" s="1389"/>
      <c r="Y55" s="1389"/>
      <c r="Z55" s="1389"/>
      <c r="AA55" s="1389"/>
      <c r="AB55" s="1389"/>
      <c r="AC55" s="1389"/>
      <c r="AD55" s="1389"/>
      <c r="AE55" s="1389"/>
      <c r="AF55" s="1389"/>
      <c r="AG55" s="1389"/>
      <c r="AH55" s="1389"/>
      <c r="AI55" s="1389"/>
      <c r="AJ55" s="1389"/>
      <c r="AK55" s="1389"/>
      <c r="AL55" s="4673"/>
      <c r="AM55" s="4673"/>
      <c r="AN55" s="4673"/>
      <c r="AO55" s="4673"/>
      <c r="AP55" s="4673"/>
      <c r="AQ55" s="4673"/>
      <c r="AR55" s="5923"/>
      <c r="AS55" s="5923"/>
      <c r="AT55" s="1389"/>
      <c r="AU55" s="1389"/>
      <c r="AW55" s="854"/>
      <c r="AX55" s="854" t="str">
        <f>IF(T55="","",T55)</f>
        <v>Добавить централизованную систему для дифференциации</v>
      </c>
      <c r="AY55" s="854"/>
      <c r="AZ55" s="854"/>
      <c r="BA55" s="583">
        <v>1</v>
      </c>
    </row>
    <row s="4423" customFormat="1" customHeight="1" ht="1.05">
      <c r="A56" s="1408" t="s">
        <v>161</v>
      </c>
      <c r="B56" s="1408"/>
      <c r="C56" s="1408"/>
      <c r="D56" s="1408"/>
      <c r="E56" s="2323"/>
      <c r="F56" s="1408"/>
      <c r="G56" s="1408"/>
      <c r="H56" s="1408"/>
      <c r="I56" s="1408"/>
      <c r="J56" s="1408"/>
      <c r="K56" s="1408"/>
      <c r="L56" s="1411"/>
      <c r="M56" s="1386"/>
      <c r="N56" s="1386"/>
      <c r="O56" s="583"/>
      <c r="P56" s="445"/>
      <c r="Q56" s="1409"/>
      <c r="R56" s="445"/>
      <c r="S56" s="1387"/>
      <c r="T56" s="1390" t="s">
        <v>167</v>
      </c>
      <c r="U56" s="1389"/>
      <c r="V56" s="1389"/>
      <c r="W56" s="1389"/>
      <c r="X56" s="1389"/>
      <c r="Y56" s="1389"/>
      <c r="Z56" s="1389"/>
      <c r="AA56" s="1389"/>
      <c r="AB56" s="1389"/>
      <c r="AC56" s="1389"/>
      <c r="AD56" s="1389"/>
      <c r="AE56" s="1389"/>
      <c r="AF56" s="1389"/>
      <c r="AG56" s="1389"/>
      <c r="AH56" s="1389"/>
      <c r="AI56" s="1389"/>
      <c r="AJ56" s="1389"/>
      <c r="AK56" s="1389"/>
      <c r="AL56" s="4673"/>
      <c r="AM56" s="4673"/>
      <c r="AN56" s="4673"/>
      <c r="AO56" s="4673"/>
      <c r="AP56" s="4673"/>
      <c r="AQ56" s="4673"/>
      <c r="AR56" s="5923"/>
      <c r="AS56" s="5923"/>
      <c r="AT56" s="1389"/>
      <c r="AU56" s="1389"/>
      <c r="AW56" s="565"/>
      <c r="AX56" s="565" t="str">
        <f>IF(T56="","",T56)</f>
        <v>Добавить территорию для дифференциации</v>
      </c>
      <c r="AY56" s="565"/>
      <c r="AZ56" s="565"/>
      <c r="BA56" s="576">
        <v>1</v>
      </c>
    </row>
    <row s="4423"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168</v>
      </c>
      <c r="U57" s="1389"/>
      <c r="V57" s="1389"/>
      <c r="W57" s="1389"/>
      <c r="X57" s="1389"/>
      <c r="Y57" s="1389"/>
      <c r="Z57" s="1389"/>
      <c r="AA57" s="1389"/>
      <c r="AB57" s="1389"/>
      <c r="AC57" s="1389"/>
      <c r="AD57" s="1389"/>
      <c r="AE57" s="1389"/>
      <c r="AF57" s="1389"/>
      <c r="AG57" s="1389"/>
      <c r="AH57" s="1389"/>
      <c r="AI57" s="1389"/>
      <c r="AJ57" s="1389"/>
      <c r="AK57" s="1389"/>
      <c r="AL57" s="4673"/>
      <c r="AM57" s="4673"/>
      <c r="AN57" s="4673"/>
      <c r="AO57" s="4673"/>
      <c r="AP57" s="4673"/>
      <c r="AQ57" s="4673"/>
      <c r="AR57" s="5923"/>
      <c r="AS57" s="5923"/>
      <c r="AT57" s="1389"/>
      <c r="AU57" s="1389"/>
      <c r="AW57" s="854"/>
      <c r="AX57" s="854" t="str">
        <f>IF(T57="","",T57)</f>
        <v>Добавить наименование тарифа</v>
      </c>
      <c r="AY57" s="854"/>
      <c r="AZ57" s="854"/>
      <c r="BA57" s="583">
        <v>1</v>
      </c>
    </row>
    <row customHeight="1" ht="11.549999999999999">
      <c r="M58" s="1225"/>
      <c r="N58" s="1225"/>
      <c r="O58" s="602"/>
      <c r="P58" s="1220"/>
      <c r="Q58" s="1220"/>
      <c r="R58" s="1220"/>
      <c r="S58" s="1220"/>
      <c r="AL58" s="4921"/>
      <c r="AM58" s="4921"/>
      <c r="AN58" s="4921"/>
      <c r="AO58" s="4921"/>
      <c r="AP58" s="4921"/>
      <c r="AQ58" s="4921"/>
      <c r="AR58" s="5908"/>
      <c r="AS58" s="5908"/>
      <c r="AV58" s="1220"/>
      <c r="AW58" s="1220"/>
      <c r="AX58" s="1220"/>
      <c r="AY58" s="1220"/>
      <c r="AZ58" s="1220"/>
      <c r="BA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624"/>
      <c r="AM59" s="5624"/>
      <c r="AN59" s="5624"/>
      <c r="AO59" s="5624"/>
      <c r="AP59" s="5624"/>
      <c r="AQ59" s="5624"/>
      <c r="AR59" s="5948"/>
      <c r="AS59" s="5948"/>
      <c r="AT59" s="2350"/>
      <c r="AU59" s="2350"/>
      <c r="BA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5624"/>
      <c r="AM60" s="5624"/>
      <c r="AN60" s="5624"/>
      <c r="AO60" s="5624"/>
      <c r="AP60" s="5624"/>
      <c r="AQ60" s="5624"/>
      <c r="AR60" s="5948"/>
      <c r="AS60" s="5948"/>
      <c r="AT60" s="2350"/>
      <c r="AU60" s="2350"/>
      <c r="BA60" s="1220">
        <v>64</v>
      </c>
    </row>
    <row customHeight="1" ht="14.699999999999998">
      <c r="O61" s="602"/>
      <c r="AL61" s="4921"/>
      <c r="AM61" s="4921"/>
      <c r="AN61" s="4921"/>
      <c r="AO61" s="4921"/>
      <c r="AP61" s="4921"/>
      <c r="AQ61" s="4921"/>
      <c r="AR61" s="5908"/>
      <c r="AS61" s="5908"/>
      <c r="BA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5624"/>
      <c r="AM62" s="5624"/>
      <c r="AN62" s="5624"/>
      <c r="AO62" s="5624"/>
      <c r="AP62" s="5624"/>
      <c r="AQ62" s="5624"/>
      <c r="AR62" s="5948"/>
      <c r="AS62" s="5948"/>
      <c r="AT62" s="2350"/>
      <c r="AU62" s="2350"/>
      <c r="BA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5624"/>
      <c r="AM63" s="5624"/>
      <c r="AN63" s="5624"/>
      <c r="AO63" s="5624"/>
      <c r="AP63" s="5624"/>
      <c r="AQ63" s="5624"/>
      <c r="AR63" s="5948"/>
      <c r="AS63" s="5948"/>
      <c r="AT63" s="2350"/>
      <c r="AU63" s="2350"/>
      <c r="BA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5624"/>
      <c r="AM64" s="5624"/>
      <c r="AN64" s="5624"/>
      <c r="AO64" s="5624"/>
      <c r="AP64" s="5624"/>
      <c r="AQ64" s="5624"/>
      <c r="AR64" s="5948"/>
      <c r="AS64" s="5948"/>
      <c r="AT64" s="2350"/>
      <c r="AU64" s="2350"/>
      <c r="BA64" s="1220">
        <v>28</v>
      </c>
    </row>
    <row customHeight="1" ht="22.5" hidden="1">
      <c r="A65" s="1225" t="s">
        <v>85</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4921">
        <v>0</v>
      </c>
      <c r="AM65" s="4921">
        <v>0</v>
      </c>
      <c r="AN65" s="4921">
        <v>0</v>
      </c>
      <c r="AO65" s="4921">
        <v>0</v>
      </c>
      <c r="AP65" s="4921">
        <v>0</v>
      </c>
      <c r="AQ65" s="4921">
        <v>0</v>
      </c>
      <c r="AR65" s="5908">
        <v>0</v>
      </c>
      <c r="AS65" s="5908">
        <v>0</v>
      </c>
      <c r="AT65" s="1220">
        <v>4</v>
      </c>
      <c r="AU65" s="1220">
        <v>115</v>
      </c>
      <c r="AV65" s="576">
        <v>10</v>
      </c>
      <c r="AW65" s="576">
        <v>10</v>
      </c>
      <c r="AX65" s="576">
        <v>10</v>
      </c>
      <c r="AY65" s="576">
        <v>10</v>
      </c>
      <c r="AZ65" s="576">
        <v>10</v>
      </c>
      <c r="BA65" s="1220">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4DEC3-AC32-6D13-5EBB-0A83D4ACDD52}" mc:Ignorable="x14ac xr xr2 xr3">
  <sheetPr>
    <tabColor theme="6" tint="0.4"/>
  </sheetPr>
  <dimension ref="A1:BA69"/>
  <sheetViews>
    <sheetView showGridLines="0" zoomScale="90" workbookViewId="0">
      <pane xSplit="29" ySplit="42" topLeftCell="AD43" activePane="bottomRight" state="frozen"/>
      <selection pane="bottomLeft" activeCell="A43" sqref="A43"/>
      <selection pane="topRight" activeCell="AD1" sqref="AD1"/>
      <selection pane="bottomRight" activeCell="AL53" sqref="AL53"/>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2.00390625" hidden="1" customWidth="1"/>
    <col min="10" max="10" style="4903" width="9.8515625" hidden="1" customWidth="1"/>
    <col min="11" max="11" style="4903" width="11.4218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1.00390625" customWidth="1"/>
    <col min="21" max="21" style="4921" width="0.140625" customWidth="1"/>
    <col min="22" max="22" style="4921" width="24.7109375" hidden="1" customWidth="1"/>
    <col min="23" max="23" style="4921" width="0.140625" hidden="1" customWidth="1"/>
    <col min="24" max="25" style="4921" width="24.710937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24.00390625" customWidth="1"/>
    <col min="31" max="31" style="4921" width="0.140625" customWidth="1"/>
    <col min="32" max="33" style="4921" width="24.00390625" customWidth="1"/>
    <col min="34" max="34" style="4921" width="15.28125" customWidth="1"/>
    <col min="35" max="35" style="4921" width="3.7109375" customWidth="1"/>
    <col min="36" max="36" style="4921" width="16.140625" customWidth="1"/>
    <col min="37" max="37" style="4921" width="8.57421875" customWidth="1"/>
    <col min="45" max="45" style="127" width="10.57421875" hidden="1"/>
    <col min="46" max="46" style="4921" width="4.00390625" customWidth="1"/>
    <col min="47" max="47" style="4921" width="115.00390625" customWidth="1"/>
    <col min="48" max="52" style="4423" width="10.00390625" customWidth="1"/>
    <col min="53" max="53" style="4921" width="10.57421875" hidden="1"/>
  </cols>
  <sheetData>
    <row customHeight="1" ht="22.5" hidden="1">
      <c r="Y1" s="392"/>
      <c r="Z1" s="392"/>
      <c r="AG1" s="392"/>
      <c r="AH1" s="392"/>
      <c r="AL1" s="4921"/>
      <c r="AM1" s="4921"/>
      <c r="AN1" s="4921"/>
      <c r="AO1" s="4921"/>
      <c r="AP1" s="4921"/>
      <c r="AQ1" s="4921"/>
      <c r="AR1" s="4921"/>
      <c r="AS1" s="5908"/>
      <c r="BA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922"/>
      <c r="AM2" s="4210"/>
      <c r="AN2" s="4210"/>
      <c r="AO2" s="4210"/>
      <c r="AP2" s="4210"/>
      <c r="AQ2" s="4210"/>
      <c r="AR2" s="4210"/>
      <c r="AS2" s="5910"/>
      <c r="AT2" s="2309"/>
      <c r="AU2" s="1323" t="s">
        <v>415</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922"/>
      <c r="AM3" s="4210"/>
      <c r="AN3" s="4210"/>
      <c r="AO3" s="4210"/>
      <c r="AP3" s="4210"/>
      <c r="AQ3" s="4210"/>
      <c r="AR3" s="4210"/>
      <c r="AS3" s="5910"/>
      <c r="AT3" s="2309"/>
      <c r="AU3" s="1323" t="s">
        <v>417</v>
      </c>
      <c r="AW3" s="565"/>
      <c r="AX3" s="565" t="str">
        <f>IF(T3="","",T3)</f>
        <v>Территория действия тарифа</v>
      </c>
      <c r="AY3" s="565"/>
      <c r="AZ3" s="565"/>
      <c r="BA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922"/>
      <c r="AM4" s="4210"/>
      <c r="AN4" s="4210"/>
      <c r="AO4" s="4210"/>
      <c r="AP4" s="4210"/>
      <c r="AQ4" s="4210"/>
      <c r="AR4" s="4210"/>
      <c r="AS4" s="5910"/>
      <c r="AT4" s="2309"/>
      <c r="AU4" s="1323" t="s">
        <v>419</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420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922"/>
      <c r="AM5" s="4210"/>
      <c r="AN5" s="4210"/>
      <c r="AO5" s="4210"/>
      <c r="AP5" s="4210"/>
      <c r="AQ5" s="4210"/>
      <c r="AR5" s="4210"/>
      <c r="AS5" s="5910"/>
      <c r="AT5" s="2309"/>
      <c r="AU5" s="1323" t="s">
        <v>421</v>
      </c>
      <c r="AW5" s="565"/>
      <c r="AX5" s="565" t="str">
        <f>IF(T5="","",T5)</f>
        <v>Источник тепловой энергии  </v>
      </c>
      <c r="AY5" s="565"/>
      <c r="AZ5" s="565"/>
      <c r="BA5" s="1220">
        <v>0</v>
      </c>
    </row>
    <row customHeight="1" ht="47.25" hidden="1">
      <c r="A6" s="1428"/>
      <c r="B6" s="1428"/>
      <c r="C6" s="1428"/>
      <c r="D6" s="1428"/>
      <c r="E6" s="2324"/>
      <c r="F6" s="2324"/>
      <c r="G6" s="2324"/>
      <c r="H6" s="2324"/>
      <c r="I6" s="2321">
        <f>S5&amp;".1"</f>
      </c>
      <c r="J6" s="1428"/>
      <c r="K6" s="1428"/>
      <c r="L6" s="1429" t="s">
        <v>422</v>
      </c>
      <c r="M6" s="602"/>
      <c r="P6" s="2322">
        <v>1</v>
      </c>
      <c r="Q6" s="1396"/>
      <c r="R6" s="421"/>
      <c r="S6" s="1401">
        <f>$I6</f>
      </c>
      <c r="T6" s="350" t="s">
        <v>423</v>
      </c>
      <c r="U6" s="365"/>
      <c r="V6" s="2310"/>
      <c r="W6" s="2311"/>
      <c r="X6" s="2311"/>
      <c r="Y6" s="2311"/>
      <c r="Z6" s="2311"/>
      <c r="AA6" s="2311"/>
      <c r="AB6" s="2311"/>
      <c r="AC6" s="2312"/>
      <c r="AD6" s="2310"/>
      <c r="AE6" s="2311"/>
      <c r="AF6" s="2311"/>
      <c r="AG6" s="2311"/>
      <c r="AH6" s="2311"/>
      <c r="AI6" s="2311"/>
      <c r="AJ6" s="2311"/>
      <c r="AK6" s="2311"/>
      <c r="AL6" s="5289"/>
      <c r="AM6" s="3956"/>
      <c r="AN6" s="3956"/>
      <c r="AO6" s="3956"/>
      <c r="AP6" s="3956"/>
      <c r="AQ6" s="3956"/>
      <c r="AR6" s="3956"/>
      <c r="AS6" s="5912"/>
      <c r="AT6" s="2312"/>
      <c r="AU6" s="1323" t="s">
        <v>424</v>
      </c>
      <c r="AW6" s="565"/>
      <c r="AX6" s="565" t="str">
        <f>IF(T6="","",T6)</f>
        <v>Схема подключения теплопотребляющей установки к коллектору источника тепловой энергии</v>
      </c>
      <c r="AY6" s="565"/>
      <c r="AZ6" s="565"/>
      <c r="BA6" s="1220">
        <v>0</v>
      </c>
    </row>
    <row customHeight="1" ht="21" hidden="1">
      <c r="A7" s="1428"/>
      <c r="B7" s="1428"/>
      <c r="C7" s="1428"/>
      <c r="D7" s="1428"/>
      <c r="E7" s="2324"/>
      <c r="F7" s="2324"/>
      <c r="G7" s="2324"/>
      <c r="H7" s="2324"/>
      <c r="I7" s="2351"/>
      <c r="J7" s="2321">
        <f>I6&amp;".1"</f>
      </c>
      <c r="K7" s="1428"/>
      <c r="L7" s="1429" t="s">
        <v>425</v>
      </c>
      <c r="M7" s="602"/>
      <c r="N7" s="1431"/>
      <c r="P7" s="2322"/>
      <c r="Q7" s="2322">
        <v>1</v>
      </c>
      <c r="R7" s="422"/>
      <c r="S7" s="1401">
        <f>$J7</f>
      </c>
      <c r="T7" s="351" t="s">
        <v>426</v>
      </c>
      <c r="U7" s="365"/>
      <c r="V7" s="2310"/>
      <c r="W7" s="2311"/>
      <c r="X7" s="2311"/>
      <c r="Y7" s="2311"/>
      <c r="Z7" s="2311"/>
      <c r="AA7" s="2311"/>
      <c r="AB7" s="2311"/>
      <c r="AC7" s="2312"/>
      <c r="AD7" s="2310"/>
      <c r="AE7" s="2311"/>
      <c r="AF7" s="2311"/>
      <c r="AG7" s="2311"/>
      <c r="AH7" s="2311"/>
      <c r="AI7" s="2311"/>
      <c r="AJ7" s="2311"/>
      <c r="AK7" s="2311"/>
      <c r="AL7" s="5289"/>
      <c r="AM7" s="3956"/>
      <c r="AN7" s="3956"/>
      <c r="AO7" s="3956"/>
      <c r="AP7" s="3956"/>
      <c r="AQ7" s="3956"/>
      <c r="AR7" s="3956"/>
      <c r="AS7" s="5912"/>
      <c r="AT7" s="2312"/>
      <c r="AU7" s="1323" t="s">
        <v>427</v>
      </c>
      <c r="AW7" s="565"/>
      <c r="AX7" s="565" t="str">
        <f>IF(T7="","",T7)</f>
        <v>Группа потребителей</v>
      </c>
      <c r="AY7" s="565"/>
      <c r="AZ7" s="565"/>
      <c r="BA7" s="1220">
        <v>0</v>
      </c>
    </row>
    <row customHeight="1" ht="21" hidden="1">
      <c r="A8" s="1428"/>
      <c r="B8" s="1428"/>
      <c r="C8" s="1428"/>
      <c r="D8" s="1428"/>
      <c r="E8" s="2324"/>
      <c r="F8" s="2324"/>
      <c r="G8" s="2324"/>
      <c r="H8" s="2324"/>
      <c r="I8" s="2351"/>
      <c r="J8" s="2351"/>
      <c r="K8" s="2321">
        <f>J7&amp;".1"</f>
      </c>
      <c r="L8" s="1429" t="s">
        <v>428</v>
      </c>
      <c r="M8" s="602"/>
      <c r="N8" s="1431"/>
      <c r="O8" s="1431"/>
      <c r="P8" s="2322"/>
      <c r="Q8" s="2322"/>
      <c r="R8" s="422">
        <v>1</v>
      </c>
      <c r="S8" s="1401">
        <f>$K8</f>
      </c>
      <c r="T8" s="1412"/>
      <c r="U8" s="365"/>
      <c r="V8" s="816"/>
      <c r="W8" s="390"/>
      <c r="X8" s="816"/>
      <c r="Y8" s="1322"/>
      <c r="Z8" s="2330"/>
      <c r="AA8" s="2172" t="s">
        <v>64</v>
      </c>
      <c r="AB8" s="2330"/>
      <c r="AC8" s="2172" t="s">
        <v>64</v>
      </c>
      <c r="AD8" s="816"/>
      <c r="AE8" s="390"/>
      <c r="AF8" s="816"/>
      <c r="AG8" s="1322"/>
      <c r="AH8" s="2330"/>
      <c r="AI8" s="2172" t="s">
        <v>64</v>
      </c>
      <c r="AJ8" s="2330"/>
      <c r="AK8" s="2172" t="s">
        <v>64</v>
      </c>
      <c r="AL8" s="4296"/>
      <c r="AM8" s="3966"/>
      <c r="AN8" s="4296"/>
      <c r="AO8" s="3965"/>
      <c r="AP8" s="5608"/>
      <c r="AQ8" s="4650" t="s">
        <v>64</v>
      </c>
      <c r="AR8" s="5608"/>
      <c r="AS8" s="4650" t="s">
        <v>64</v>
      </c>
      <c r="AT8" s="390"/>
      <c r="AU8" s="2318" t="s">
        <v>429</v>
      </c>
      <c r="AV8" s="576">
        <f>STRCHECKDATE(V9:AT9)</f>
      </c>
      <c r="AW8" s="565"/>
      <c r="AX8" s="565" t="str">
        <f>IF(T8="","",T8)</f>
        <v/>
      </c>
      <c r="AY8" s="565"/>
      <c r="AZ8" s="565"/>
      <c r="BA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66"/>
      <c r="AM9" s="3966"/>
      <c r="AN9" s="3966"/>
      <c r="AO9" s="3976" t="str">
        <f>AP8&amp;"-"&amp;AR8</f>
        <v>-</v>
      </c>
      <c r="AP9" s="5453"/>
      <c r="AQ9" s="4650"/>
      <c r="AR9" s="5453"/>
      <c r="AS9" s="4650"/>
      <c r="AT9" s="390"/>
      <c r="AU9" s="2319"/>
      <c r="AW9" s="565"/>
      <c r="AX9" s="565" t="str">
        <f>IF(T9="","",T9)</f>
        <v/>
      </c>
      <c r="AY9" s="565"/>
      <c r="AZ9" s="565"/>
      <c r="BA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430</v>
      </c>
      <c r="U10" s="432"/>
      <c r="V10" s="432"/>
      <c r="W10" s="432"/>
      <c r="X10" s="432"/>
      <c r="Y10" s="432"/>
      <c r="Z10" s="432"/>
      <c r="AA10" s="432"/>
      <c r="AB10" s="432"/>
      <c r="AC10" s="432"/>
      <c r="AD10" s="432"/>
      <c r="AE10" s="432"/>
      <c r="AF10" s="432"/>
      <c r="AG10" s="432"/>
      <c r="AH10" s="432"/>
      <c r="AI10" s="432"/>
      <c r="AJ10" s="432"/>
      <c r="AK10" s="432"/>
      <c r="AL10" s="5717"/>
      <c r="AM10" s="5718"/>
      <c r="AN10" s="5719"/>
      <c r="AO10" s="5720"/>
      <c r="AP10" s="5721"/>
      <c r="AQ10" s="5722"/>
      <c r="AR10" s="5723"/>
      <c r="AS10" s="5949"/>
      <c r="AT10" s="389"/>
      <c r="AU10" s="2320"/>
      <c r="AW10" s="565"/>
      <c r="AX10" s="565" t="str">
        <f>IF(T10="","",T10)</f>
        <v>Добавить вид теплоносителя (параметры теплоносителя)</v>
      </c>
      <c r="AY10" s="565"/>
      <c r="AZ10" s="565"/>
      <c r="BA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431</v>
      </c>
      <c r="U11" s="432"/>
      <c r="V11" s="432"/>
      <c r="W11" s="432"/>
      <c r="X11" s="432"/>
      <c r="Y11" s="432"/>
      <c r="Z11" s="432"/>
      <c r="AA11" s="432"/>
      <c r="AB11" s="432"/>
      <c r="AC11" s="431"/>
      <c r="AD11" s="432"/>
      <c r="AE11" s="432"/>
      <c r="AF11" s="432"/>
      <c r="AG11" s="432"/>
      <c r="AH11" s="432"/>
      <c r="AI11" s="432"/>
      <c r="AJ11" s="432"/>
      <c r="AK11" s="431"/>
      <c r="AL11" s="5725"/>
      <c r="AM11" s="5726"/>
      <c r="AN11" s="5727"/>
      <c r="AO11" s="5728"/>
      <c r="AP11" s="5729"/>
      <c r="AQ11" s="5730"/>
      <c r="AR11" s="5731"/>
      <c r="AS11" s="5950"/>
      <c r="AT11" s="432"/>
      <c r="AU11" s="368"/>
      <c r="AW11" s="565"/>
      <c r="AX11" s="565" t="str">
        <f>IF(T11="","",T11)</f>
        <v>Добавить группу потребителей</v>
      </c>
      <c r="AY11" s="565"/>
      <c r="AZ11" s="565"/>
      <c r="BA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432</v>
      </c>
      <c r="U12" s="432"/>
      <c r="V12" s="432"/>
      <c r="W12" s="432"/>
      <c r="X12" s="432"/>
      <c r="Y12" s="432"/>
      <c r="Z12" s="432"/>
      <c r="AA12" s="432"/>
      <c r="AB12" s="432"/>
      <c r="AC12" s="431"/>
      <c r="AD12" s="432"/>
      <c r="AE12" s="432"/>
      <c r="AF12" s="432"/>
      <c r="AG12" s="432"/>
      <c r="AH12" s="432"/>
      <c r="AI12" s="432"/>
      <c r="AJ12" s="432"/>
      <c r="AK12" s="431"/>
      <c r="AL12" s="5733"/>
      <c r="AM12" s="5734"/>
      <c r="AN12" s="5735"/>
      <c r="AO12" s="5736"/>
      <c r="AP12" s="5737"/>
      <c r="AQ12" s="5738"/>
      <c r="AR12" s="5739"/>
      <c r="AS12" s="5951"/>
      <c r="AT12" s="432"/>
      <c r="AU12" s="368"/>
      <c r="AW12" s="565"/>
      <c r="AX12" s="565" t="str">
        <f>IF(T12="","",T12)</f>
        <v>Добавить схему подключения</v>
      </c>
      <c r="AY12" s="565"/>
      <c r="AZ12" s="565"/>
      <c r="BA12" s="1220">
        <v>0</v>
      </c>
    </row>
    <row s="4423"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165</v>
      </c>
      <c r="U13" s="1385"/>
      <c r="V13" s="1385"/>
      <c r="W13" s="1385"/>
      <c r="X13" s="1385"/>
      <c r="Y13" s="1385"/>
      <c r="Z13" s="1385"/>
      <c r="AA13" s="1385"/>
      <c r="AB13" s="1385"/>
      <c r="AC13" s="1385"/>
      <c r="AD13" s="1385"/>
      <c r="AE13" s="1385"/>
      <c r="AF13" s="1385"/>
      <c r="AG13" s="1385"/>
      <c r="AH13" s="1385"/>
      <c r="AI13" s="1385"/>
      <c r="AJ13" s="1385"/>
      <c r="AK13" s="1385"/>
      <c r="AL13" s="4099"/>
      <c r="AM13" s="4099"/>
      <c r="AN13" s="4099"/>
      <c r="AO13" s="4099"/>
      <c r="AP13" s="4099"/>
      <c r="AQ13" s="4099"/>
      <c r="AR13" s="4099"/>
      <c r="AS13" s="4099"/>
      <c r="AT13" s="1385"/>
      <c r="AU13" s="1385"/>
      <c r="AW13" s="854"/>
      <c r="AX13" s="854" t="str">
        <f>IF(T13="","",T13)</f>
        <v>Добавить источник для дифференциации</v>
      </c>
      <c r="AY13" s="854"/>
      <c r="AZ13" s="854"/>
      <c r="BA13" s="583">
        <v>0</v>
      </c>
    </row>
    <row s="4423"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166</v>
      </c>
      <c r="U14" s="1389"/>
      <c r="V14" s="1389"/>
      <c r="W14" s="1389"/>
      <c r="X14" s="1389"/>
      <c r="Y14" s="1389"/>
      <c r="Z14" s="1389"/>
      <c r="AA14" s="1389"/>
      <c r="AB14" s="1389"/>
      <c r="AC14" s="1389"/>
      <c r="AD14" s="1389"/>
      <c r="AE14" s="1389"/>
      <c r="AF14" s="1389"/>
      <c r="AG14" s="1389"/>
      <c r="AH14" s="1389"/>
      <c r="AI14" s="1389"/>
      <c r="AJ14" s="1389"/>
      <c r="AK14" s="1389"/>
      <c r="AL14" s="4673"/>
      <c r="AM14" s="4673"/>
      <c r="AN14" s="4673"/>
      <c r="AO14" s="4673"/>
      <c r="AP14" s="4673"/>
      <c r="AQ14" s="4673"/>
      <c r="AR14" s="4673"/>
      <c r="AS14" s="4673"/>
      <c r="AT14" s="1389"/>
      <c r="AU14" s="1389"/>
      <c r="AW14" s="854"/>
      <c r="AX14" s="854" t="str">
        <f>IF(T14="","",T14)</f>
        <v>Добавить централизованную систему для дифференциации</v>
      </c>
      <c r="AY14" s="854"/>
      <c r="AZ14" s="854"/>
      <c r="BA14" s="583">
        <v>0</v>
      </c>
    </row>
    <row s="4423"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167</v>
      </c>
      <c r="U15" s="1389"/>
      <c r="V15" s="1389"/>
      <c r="W15" s="1389"/>
      <c r="X15" s="1389"/>
      <c r="Y15" s="1389"/>
      <c r="Z15" s="1389"/>
      <c r="AA15" s="1389"/>
      <c r="AB15" s="1389"/>
      <c r="AC15" s="1389"/>
      <c r="AD15" s="1389"/>
      <c r="AE15" s="1389"/>
      <c r="AF15" s="1389"/>
      <c r="AG15" s="1389"/>
      <c r="AH15" s="1389"/>
      <c r="AI15" s="1389"/>
      <c r="AJ15" s="1389"/>
      <c r="AK15" s="1389"/>
      <c r="AL15" s="4673"/>
      <c r="AM15" s="4673"/>
      <c r="AN15" s="4673"/>
      <c r="AO15" s="4673"/>
      <c r="AP15" s="4673"/>
      <c r="AQ15" s="4673"/>
      <c r="AR15" s="4673"/>
      <c r="AS15" s="4673"/>
      <c r="AT15" s="1389"/>
      <c r="AU15" s="1389"/>
      <c r="AW15" s="854"/>
      <c r="AX15" s="854" t="str">
        <f>IF(T15="","",T15)</f>
        <v>Добавить территорию для дифференциации</v>
      </c>
      <c r="AY15" s="854"/>
      <c r="AZ15" s="854"/>
      <c r="BA15" s="583">
        <v>0</v>
      </c>
    </row>
    <row customHeight="1" ht="14.25" hidden="1">
      <c r="AC16" s="392"/>
      <c r="AK16" s="392"/>
      <c r="AL16" s="4921"/>
      <c r="AM16" s="4921"/>
      <c r="AN16" s="4921"/>
      <c r="AO16" s="4921"/>
      <c r="AP16" s="4921"/>
      <c r="AQ16" s="4921"/>
      <c r="AR16" s="4921"/>
      <c r="AS16" s="5908"/>
      <c r="BA16" s="1220">
        <v>0</v>
      </c>
    </row>
    <row customHeight="1" ht="14.25" hidden="1">
      <c r="AD17" s="1425"/>
      <c r="AE17" s="1425"/>
      <c r="AF17" s="1425"/>
      <c r="AG17" s="1426"/>
      <c r="AH17" s="2332"/>
      <c r="AI17" s="2333" t="s">
        <v>64</v>
      </c>
      <c r="AJ17" s="2332"/>
      <c r="AK17" s="2333" t="s">
        <v>64</v>
      </c>
      <c r="AL17" s="4921"/>
      <c r="AM17" s="4921"/>
      <c r="AN17" s="4921"/>
      <c r="AO17" s="4921"/>
      <c r="AP17" s="4921"/>
      <c r="AQ17" s="4921"/>
      <c r="AR17" s="4921"/>
      <c r="AS17" s="5908"/>
      <c r="BA17" s="1220">
        <v>0</v>
      </c>
    </row>
    <row customHeight="1" ht="14.25" hidden="1">
      <c r="AD18" s="1425"/>
      <c r="AE18" s="1425"/>
      <c r="AF18" s="1425"/>
      <c r="AG18" s="393" t="str">
        <f>AH17&amp;"-"&amp;AJ17</f>
        <v>-</v>
      </c>
      <c r="AH18" s="2333"/>
      <c r="AI18" s="2333"/>
      <c r="AJ18" s="2333"/>
      <c r="AK18" s="2333"/>
      <c r="AL18" s="4921"/>
      <c r="AM18" s="4921"/>
      <c r="AN18" s="4921"/>
      <c r="AO18" s="4921"/>
      <c r="AP18" s="4921"/>
      <c r="AQ18" s="4921"/>
      <c r="AR18" s="4921"/>
      <c r="AS18" s="5908"/>
      <c r="BA18" s="1220">
        <v>0</v>
      </c>
    </row>
    <row customHeight="1" ht="14.25" hidden="1">
      <c r="AK19" s="392"/>
      <c r="AL19" s="4921"/>
      <c r="AM19" s="4921"/>
      <c r="AN19" s="4921"/>
      <c r="AO19" s="4921"/>
      <c r="AP19" s="4921"/>
      <c r="AQ19" s="4921"/>
      <c r="AR19" s="4921"/>
      <c r="AS19" s="5908"/>
      <c r="BA19" s="1220">
        <v>0</v>
      </c>
    </row>
    <row s="4903" customFormat="1" customHeight="1" ht="22.5" hidden="1">
      <c r="L20" s="1394"/>
      <c r="M20" s="1427"/>
      <c r="N20" s="1427"/>
      <c r="O20" s="1432" t="s">
        <v>433</v>
      </c>
      <c r="P20" s="1427"/>
      <c r="Q20" s="1436"/>
      <c r="R20" s="1436"/>
      <c r="S20" s="794"/>
      <c r="Z20" s="1432"/>
      <c r="AB20" s="1432"/>
      <c r="AC20" s="1431"/>
      <c r="AH20" s="1432"/>
      <c r="AJ20" s="1432"/>
      <c r="AK20" s="1431"/>
      <c r="AL20" s="4903"/>
      <c r="AM20" s="4903"/>
      <c r="AN20" s="4903"/>
      <c r="AO20" s="4903"/>
      <c r="AP20" s="3715"/>
      <c r="AQ20" s="4903"/>
      <c r="AR20" s="3715"/>
      <c r="AS20" s="5925"/>
      <c r="AV20" s="576"/>
      <c r="AW20" s="576"/>
      <c r="AX20" s="576"/>
      <c r="AY20" s="576"/>
      <c r="AZ20" s="576"/>
      <c r="BA20" s="1225">
        <v>0</v>
      </c>
    </row>
    <row s="4903" customFormat="1" customHeight="1" ht="14.25" hidden="1">
      <c r="L21" s="1394"/>
      <c r="M21" s="1427"/>
      <c r="N21" s="1427"/>
      <c r="O21" s="1427"/>
      <c r="P21" s="1427"/>
      <c r="Q21" s="1436"/>
      <c r="R21" s="1436"/>
      <c r="S21" s="794"/>
      <c r="AC21" s="1431"/>
      <c r="AK21" s="1431"/>
      <c r="AL21" s="4903"/>
      <c r="AM21" s="4903"/>
      <c r="AN21" s="4903"/>
      <c r="AO21" s="4903"/>
      <c r="AP21" s="4903"/>
      <c r="AQ21" s="4903"/>
      <c r="AR21" s="4903"/>
      <c r="AS21" s="5925"/>
      <c r="AV21" s="576"/>
      <c r="AW21" s="576"/>
      <c r="AX21" s="576"/>
      <c r="AY21" s="576"/>
      <c r="AZ21" s="576"/>
      <c r="BA21" s="1225">
        <v>0</v>
      </c>
    </row>
    <row s="4903" customFormat="1" customHeight="1" ht="14.25" hidden="1">
      <c r="L22" s="1394"/>
      <c r="M22" s="1427"/>
      <c r="N22" s="1427"/>
      <c r="O22" s="1429" t="s">
        <v>434</v>
      </c>
      <c r="P22" s="1427"/>
      <c r="Q22" s="1436"/>
      <c r="R22" s="1436"/>
      <c r="S22" s="794"/>
      <c r="T22" s="1225" t="s">
        <v>435</v>
      </c>
      <c r="AA22" s="251" t="s">
        <v>436</v>
      </c>
      <c r="AC22" s="251" t="s">
        <v>437</v>
      </c>
      <c r="AD22" s="1225" t="s">
        <v>435</v>
      </c>
      <c r="AI22" s="251" t="s">
        <v>438</v>
      </c>
      <c r="AK22" s="251" t="s">
        <v>437</v>
      </c>
      <c r="AL22" s="4903"/>
      <c r="AM22" s="4903"/>
      <c r="AN22" s="4903"/>
      <c r="AO22" s="4903"/>
      <c r="AP22" s="4903"/>
      <c r="AQ22" s="3726" t="s">
        <v>436</v>
      </c>
      <c r="AR22" s="4903"/>
      <c r="AS22" s="5926" t="s">
        <v>437</v>
      </c>
      <c r="AV22" s="576"/>
      <c r="AW22" s="576"/>
      <c r="AX22" s="576"/>
      <c r="AY22" s="576"/>
      <c r="AZ22" s="576"/>
      <c r="BA22" s="1225">
        <v>0</v>
      </c>
    </row>
    <row customHeight="1" ht="14.25" hidden="1">
      <c r="O23" s="1429"/>
      <c r="AL23" s="4921"/>
      <c r="AM23" s="4921"/>
      <c r="AN23" s="4921"/>
      <c r="AO23" s="4921"/>
      <c r="AP23" s="4921"/>
      <c r="AQ23" s="4921"/>
      <c r="AR23" s="4921"/>
      <c r="AS23" s="5908"/>
      <c r="BA23" s="1220">
        <v>0</v>
      </c>
    </row>
    <row customHeight="1" ht="14.25" hidden="1">
      <c r="O24" s="1429"/>
      <c r="AL24" s="4921"/>
      <c r="AM24" s="4921"/>
      <c r="AN24" s="4921"/>
      <c r="AO24" s="4921"/>
      <c r="AP24" s="4921"/>
      <c r="AQ24" s="4921"/>
      <c r="AR24" s="4921"/>
      <c r="AS24" s="5908"/>
      <c r="BA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921"/>
      <c r="AM25" s="4921"/>
      <c r="AN25" s="4921"/>
      <c r="AO25" s="4921"/>
      <c r="AP25" s="4921"/>
      <c r="AQ25" s="4921"/>
      <c r="AR25" s="4921"/>
      <c r="AS25" s="5908"/>
      <c r="BA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L26" s="3722"/>
      <c r="AM26" s="3722"/>
      <c r="AN26" s="3722"/>
      <c r="AO26" s="3722"/>
      <c r="AP26" s="3722"/>
      <c r="AQ26" s="3722"/>
      <c r="AR26" s="3722"/>
      <c r="AS26" s="5927"/>
      <c r="BA26" s="1220">
        <v>14</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L27" s="3724"/>
      <c r="AM27" s="3724"/>
      <c r="AN27" s="3724"/>
      <c r="AO27" s="3724"/>
      <c r="AP27" s="3724"/>
      <c r="AQ27" s="3724"/>
      <c r="AR27" s="3724"/>
      <c r="AS27" s="5928"/>
      <c r="BA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3725"/>
      <c r="AM28" s="3725"/>
      <c r="AN28" s="3725"/>
      <c r="AO28" s="3725"/>
      <c r="AP28" s="3725"/>
      <c r="AQ28" s="3725"/>
      <c r="AR28" s="3725"/>
      <c r="AS28" s="5929"/>
      <c r="AT28" s="574"/>
      <c r="BA28" s="1220">
        <v>0</v>
      </c>
    </row>
    <row s="5485"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5158" t="str">
        <f>IF(TITLE_NAME_OR_PR_CHANGE="",IF(TITLE_NAME_OR_PR="","",TITLE_NAME_OR_PR),TITLE_NAME_OR_PR_CHANGE)</f>
        <v>Региональная тарифная комиссия Ставропольского края</v>
      </c>
      <c r="AM29" s="5158"/>
      <c r="AN29" s="5158"/>
      <c r="AO29" s="5158"/>
      <c r="AP29" s="5158"/>
      <c r="AQ29" s="5158"/>
      <c r="AR29" s="5158"/>
      <c r="AS29" s="5908"/>
      <c r="AT29" s="391"/>
      <c r="AU29" s="345"/>
      <c r="AV29" s="433"/>
      <c r="AW29" s="433"/>
      <c r="AX29" s="433"/>
      <c r="AY29" s="433"/>
      <c r="AZ29" s="433"/>
      <c r="BA29" s="483">
        <v>0</v>
      </c>
    </row>
    <row s="5485" customFormat="1" customHeight="1" ht="18.75">
      <c r="A30" s="1433"/>
      <c r="B30" s="1433"/>
      <c r="C30" s="1433"/>
      <c r="D30" s="1433"/>
      <c r="E30" s="1433"/>
      <c r="F30" s="1433"/>
      <c r="G30" s="1433"/>
      <c r="H30" s="1433"/>
      <c r="I30" s="1433"/>
      <c r="J30" s="1433"/>
      <c r="K30" s="1433"/>
      <c r="L30" s="1434"/>
      <c r="M30" s="1433"/>
      <c r="N30" s="1433"/>
      <c r="O30" s="1433"/>
      <c r="S30" s="2315" t="s">
        <v>439</v>
      </c>
      <c r="T30" s="2315"/>
      <c r="U30" s="1437"/>
      <c r="V30" s="2329" t="str">
        <f>IF(TITLE_DATE_PR_CHANGE="",IF(TITLE_DATE_PR="","",TITLE_DATE_PR),TITLE_DATE_PR_CHANGE)</f>
        <v>45643.434652777774</v>
      </c>
      <c r="W30" s="2329"/>
      <c r="X30" s="2329"/>
      <c r="Y30" s="2329"/>
      <c r="Z30" s="2329"/>
      <c r="AA30" s="2329"/>
      <c r="AB30" s="2329"/>
      <c r="AC30" s="391"/>
      <c r="AD30" s="2329" t="str">
        <f>IF(TITLE_DATE_PR_CHANGE="",IF(TITLE_DATE_PR="","",TITLE_DATE_PR),TITLE_DATE_PR_CHANGE)</f>
        <v>45643.434652777774</v>
      </c>
      <c r="AE30" s="2329"/>
      <c r="AF30" s="2329"/>
      <c r="AG30" s="2329"/>
      <c r="AH30" s="2329"/>
      <c r="AI30" s="2329"/>
      <c r="AJ30" s="2329"/>
      <c r="AK30" s="391"/>
      <c r="AL30" s="3735" t="str">
        <f>IF(TITLE_DATE_PR_CHANGE="",IF(TITLE_DATE_PR="","",TITLE_DATE_PR),TITLE_DATE_PR_CHANGE)</f>
        <v>45643.434652777774</v>
      </c>
      <c r="AM30" s="3735"/>
      <c r="AN30" s="3735"/>
      <c r="AO30" s="3735"/>
      <c r="AP30" s="3735"/>
      <c r="AQ30" s="3735"/>
      <c r="AR30" s="3735"/>
      <c r="AS30" s="5908"/>
      <c r="AT30" s="391"/>
      <c r="AU30" s="345"/>
      <c r="AV30" s="433"/>
      <c r="AW30" s="433"/>
      <c r="AX30" s="433"/>
      <c r="AY30" s="433"/>
      <c r="AZ30" s="433"/>
      <c r="BA30" s="483">
        <v>0</v>
      </c>
    </row>
    <row s="5485" customFormat="1" customHeight="1" ht="18.75">
      <c r="A31" s="1433"/>
      <c r="B31" s="1433"/>
      <c r="C31" s="1433"/>
      <c r="D31" s="1433"/>
      <c r="E31" s="1433"/>
      <c r="F31" s="1433"/>
      <c r="G31" s="1433"/>
      <c r="H31" s="1433"/>
      <c r="I31" s="1433"/>
      <c r="J31" s="1433"/>
      <c r="K31" s="1433"/>
      <c r="L31" s="1434"/>
      <c r="M31" s="1433"/>
      <c r="N31" s="1433"/>
      <c r="O31" s="1433"/>
      <c r="S31" s="2315" t="s">
        <v>440</v>
      </c>
      <c r="T31" s="2315"/>
      <c r="U31" s="1437"/>
      <c r="V31" s="2316" t="str">
        <f>IF(TITLE_NUMBER_PR_CHANGE="",IF(TITLE_NUMBER_PR="","",TITLE_NUMBER_PR),TITLE_NUMBER_PR_CHANGE)</f>
        <v>71/2</v>
      </c>
      <c r="W31" s="2316"/>
      <c r="X31" s="2316"/>
      <c r="Y31" s="2316"/>
      <c r="Z31" s="2316"/>
      <c r="AA31" s="2316"/>
      <c r="AB31" s="2316"/>
      <c r="AC31" s="391"/>
      <c r="AD31" s="2316" t="str">
        <f>IF(TITLE_NUMBER_PR_CHANGE="",IF(TITLE_NUMBER_PR="","",TITLE_NUMBER_PR),TITLE_NUMBER_PR_CHANGE)</f>
        <v>71/2</v>
      </c>
      <c r="AE31" s="2316"/>
      <c r="AF31" s="2316"/>
      <c r="AG31" s="2316"/>
      <c r="AH31" s="2316"/>
      <c r="AI31" s="2316"/>
      <c r="AJ31" s="2316"/>
      <c r="AK31" s="391"/>
      <c r="AL31" s="5158" t="str">
        <f>IF(TITLE_NUMBER_PR_CHANGE="",IF(TITLE_NUMBER_PR="","",TITLE_NUMBER_PR),TITLE_NUMBER_PR_CHANGE)</f>
        <v>71/2</v>
      </c>
      <c r="AM31" s="5158"/>
      <c r="AN31" s="5158"/>
      <c r="AO31" s="5158"/>
      <c r="AP31" s="5158"/>
      <c r="AQ31" s="5158"/>
      <c r="AR31" s="5158"/>
      <c r="AS31" s="5908"/>
      <c r="AT31" s="391"/>
      <c r="AU31" s="345"/>
      <c r="AV31" s="433"/>
      <c r="AW31" s="433"/>
      <c r="AX31" s="433"/>
      <c r="AY31" s="433"/>
      <c r="AZ31" s="433"/>
      <c r="BA31" s="483">
        <v>0</v>
      </c>
    </row>
    <row s="5485"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Официальный интернет-портал правовой информации Ставропольского края</v>
      </c>
      <c r="W32" s="2316"/>
      <c r="X32" s="2316"/>
      <c r="Y32" s="2316"/>
      <c r="Z32" s="2316"/>
      <c r="AA32" s="2316"/>
      <c r="AB32" s="2316"/>
      <c r="AC32" s="391"/>
      <c r="AD32" s="2316" t="str">
        <f>IF(TITLE_IST_PUB_CHANGE="",IF(TITLE_IST_PUB="","",TITLE_IST_PUB),TITLE_IST_PUB_CHANGE)</f>
        <v>Официальный интернет-портал правовой информации Ставропольского края</v>
      </c>
      <c r="AE32" s="2316"/>
      <c r="AF32" s="2316"/>
      <c r="AG32" s="2316"/>
      <c r="AH32" s="2316"/>
      <c r="AI32" s="2316"/>
      <c r="AJ32" s="2316"/>
      <c r="AK32" s="391"/>
      <c r="AL32" s="5158" t="str">
        <f>IF(TITLE_IST_PUB_CHANGE="",IF(TITLE_IST_PUB="","",TITLE_IST_PUB),TITLE_IST_PUB_CHANGE)</f>
        <v>Официальный интернет-портал правовой информации Ставропольского края</v>
      </c>
      <c r="AM32" s="5158"/>
      <c r="AN32" s="5158"/>
      <c r="AO32" s="5158"/>
      <c r="AP32" s="5158"/>
      <c r="AQ32" s="5158"/>
      <c r="AR32" s="5158"/>
      <c r="AS32" s="5908"/>
      <c r="AT32" s="391"/>
      <c r="AU32" s="345"/>
      <c r="AV32" s="433"/>
      <c r="AW32" s="433"/>
      <c r="AX32" s="433"/>
      <c r="AY32" s="433"/>
      <c r="AZ32" s="433"/>
      <c r="BA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3725"/>
      <c r="AM33" s="3725"/>
      <c r="AN33" s="3725"/>
      <c r="AO33" s="3725"/>
      <c r="AP33" s="3725"/>
      <c r="AQ33" s="3725"/>
      <c r="AR33" s="3725"/>
      <c r="AS33" s="5929"/>
      <c r="AT33" s="574"/>
      <c r="BA33" s="1220">
        <v>0</v>
      </c>
    </row>
    <row s="5485" customFormat="1" customHeight="1" ht="18.75" hidden="1">
      <c r="A34" s="1433"/>
      <c r="B34" s="1433"/>
      <c r="C34" s="1433"/>
      <c r="D34" s="1433"/>
      <c r="E34" s="1433"/>
      <c r="F34" s="1433"/>
      <c r="G34" s="1433"/>
      <c r="H34" s="1433"/>
      <c r="I34" s="1433"/>
      <c r="J34" s="1433"/>
      <c r="K34" s="1433"/>
      <c r="L34" s="1434"/>
      <c r="M34" s="1433"/>
      <c r="N34" s="1433"/>
      <c r="O34" s="1433"/>
      <c r="S34" s="2315" t="s">
        <v>441</v>
      </c>
      <c r="T34" s="2315"/>
      <c r="U34" s="1437"/>
      <c r="V34" s="2329" t="str">
        <f>IF(TITLE_DATE_PR_CHANGE="",IF(TITLE_DATE_PR="","",TITLE_DATE_PR),TITLE_DATE_PR_CHANGE)</f>
        <v>45643.434652777774</v>
      </c>
      <c r="W34" s="2329"/>
      <c r="X34" s="2329"/>
      <c r="Y34" s="2329"/>
      <c r="Z34" s="2329"/>
      <c r="AA34" s="2329"/>
      <c r="AB34" s="2329"/>
      <c r="AC34" s="391"/>
      <c r="AD34" s="2329" t="str">
        <f>IF(TITLE_DATE_PR_CHANGE="",IF(TITLE_DATE_PR="","",TITLE_DATE_PR),TITLE_DATE_PR_CHANGE)</f>
        <v>45643.434652777774</v>
      </c>
      <c r="AE34" s="2329"/>
      <c r="AF34" s="2329"/>
      <c r="AG34" s="2329"/>
      <c r="AH34" s="2329"/>
      <c r="AI34" s="2329"/>
      <c r="AJ34" s="2329"/>
      <c r="AK34" s="391"/>
      <c r="AL34" s="3735" t="str">
        <f>IF(TITLE_DATE_PR_CHANGE="",IF(TITLE_DATE_PR="","",TITLE_DATE_PR),TITLE_DATE_PR_CHANGE)</f>
        <v>45643.434652777774</v>
      </c>
      <c r="AM34" s="3735"/>
      <c r="AN34" s="3735"/>
      <c r="AO34" s="3735"/>
      <c r="AP34" s="3735"/>
      <c r="AQ34" s="3735"/>
      <c r="AR34" s="3735"/>
      <c r="AS34" s="5908"/>
      <c r="AT34" s="391"/>
      <c r="AU34" s="345"/>
      <c r="AV34" s="433"/>
      <c r="AW34" s="433"/>
      <c r="AX34" s="433"/>
      <c r="AY34" s="433"/>
      <c r="AZ34" s="433"/>
      <c r="BA34" s="483">
        <v>0</v>
      </c>
    </row>
    <row s="5485" customFormat="1" customHeight="1" ht="18.75" hidden="1">
      <c r="A35" s="1433"/>
      <c r="B35" s="1433"/>
      <c r="C35" s="1433"/>
      <c r="D35" s="1433"/>
      <c r="E35" s="1433"/>
      <c r="F35" s="1433"/>
      <c r="G35" s="1433"/>
      <c r="H35" s="1433"/>
      <c r="I35" s="1433"/>
      <c r="J35" s="1433"/>
      <c r="K35" s="1433"/>
      <c r="L35" s="1434"/>
      <c r="M35" s="1433"/>
      <c r="N35" s="1433"/>
      <c r="O35" s="1433"/>
      <c r="S35" s="2315" t="s">
        <v>442</v>
      </c>
      <c r="T35" s="2315"/>
      <c r="U35" s="1437"/>
      <c r="V35" s="2316" t="str">
        <f>IF(TITLE_NUMBER_PR_CHANGE="",IF(TITLE_NUMBER_PR="","",TITLE_NUMBER_PR),TITLE_NUMBER_PR_CHANGE)</f>
        <v>71/2</v>
      </c>
      <c r="W35" s="2316"/>
      <c r="X35" s="2316"/>
      <c r="Y35" s="2316"/>
      <c r="Z35" s="2316"/>
      <c r="AA35" s="2316"/>
      <c r="AB35" s="2316"/>
      <c r="AC35" s="391"/>
      <c r="AD35" s="2316" t="str">
        <f>IF(TITLE_NUMBER_PR_CHANGE="",IF(TITLE_NUMBER_PR="","",TITLE_NUMBER_PR),TITLE_NUMBER_PR_CHANGE)</f>
        <v>71/2</v>
      </c>
      <c r="AE35" s="2316"/>
      <c r="AF35" s="2316"/>
      <c r="AG35" s="2316"/>
      <c r="AH35" s="2316"/>
      <c r="AI35" s="2316"/>
      <c r="AJ35" s="2316"/>
      <c r="AK35" s="391"/>
      <c r="AL35" s="5158" t="str">
        <f>IF(TITLE_NUMBER_PR_CHANGE="",IF(TITLE_NUMBER_PR="","",TITLE_NUMBER_PR),TITLE_NUMBER_PR_CHANGE)</f>
        <v>71/2</v>
      </c>
      <c r="AM35" s="5158"/>
      <c r="AN35" s="5158"/>
      <c r="AO35" s="5158"/>
      <c r="AP35" s="5158"/>
      <c r="AQ35" s="5158"/>
      <c r="AR35" s="5158"/>
      <c r="AS35" s="5908"/>
      <c r="AT35" s="391"/>
      <c r="AU35" s="345"/>
      <c r="AV35" s="433"/>
      <c r="AW35" s="433"/>
      <c r="AX35" s="433"/>
      <c r="AY35" s="433"/>
      <c r="AZ35" s="433"/>
      <c r="BA35" s="483">
        <v>0</v>
      </c>
    </row>
    <row s="5485"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443</v>
      </c>
      <c r="AD36" s="391"/>
      <c r="AE36" s="391"/>
      <c r="AF36" s="391"/>
      <c r="AG36" s="391"/>
      <c r="AH36" s="391"/>
      <c r="AI36" s="391"/>
      <c r="AJ36" s="391"/>
      <c r="AK36" s="343" t="s">
        <v>443</v>
      </c>
      <c r="AL36" s="4921"/>
      <c r="AM36" s="4921"/>
      <c r="AN36" s="4921"/>
      <c r="AO36" s="4921"/>
      <c r="AP36" s="4921"/>
      <c r="AQ36" s="4921"/>
      <c r="AR36" s="4921"/>
      <c r="AS36" s="5932" t="s">
        <v>443</v>
      </c>
      <c r="AV36" s="433"/>
      <c r="AW36" s="433"/>
      <c r="AX36" s="433"/>
      <c r="AY36" s="433"/>
      <c r="AZ36" s="433"/>
      <c r="BA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4227" t="s">
        <v>193</v>
      </c>
      <c r="AM37" s="4227"/>
      <c r="AN37" s="4227"/>
      <c r="AO37" s="4227"/>
      <c r="AP37" s="4227"/>
      <c r="AQ37" s="4227"/>
      <c r="AR37" s="4227"/>
      <c r="AS37" s="5933"/>
      <c r="BA37" s="1220">
        <v>14</v>
      </c>
    </row>
    <row customHeight="1" ht="15">
      <c r="Q38" s="441"/>
      <c r="R38" s="441"/>
      <c r="S38" s="2192" t="s">
        <v>319</v>
      </c>
      <c r="T38" s="2192"/>
      <c r="U38" s="2192"/>
      <c r="V38" s="2192"/>
      <c r="W38" s="2192"/>
      <c r="X38" s="2192"/>
      <c r="Y38" s="2192"/>
      <c r="Z38" s="2192"/>
      <c r="AA38" s="2192"/>
      <c r="AB38" s="2192"/>
      <c r="AC38" s="2192"/>
      <c r="AD38" s="2192"/>
      <c r="AE38" s="2192"/>
      <c r="AF38" s="2192"/>
      <c r="AG38" s="2192"/>
      <c r="AH38" s="2192"/>
      <c r="AI38" s="2192"/>
      <c r="AJ38" s="2192"/>
      <c r="AK38" s="2192"/>
      <c r="AL38" s="5310" t="s">
        <v>319</v>
      </c>
      <c r="AM38" s="5310"/>
      <c r="AN38" s="5310"/>
      <c r="AO38" s="5310"/>
      <c r="AP38" s="5310"/>
      <c r="AQ38" s="5310"/>
      <c r="AR38" s="5310"/>
      <c r="AS38" s="5934"/>
      <c r="AT38" s="2192"/>
      <c r="AU38" s="2192"/>
      <c r="BA38" s="1220"/>
    </row>
    <row customHeight="1" ht="14.699999999999998">
      <c r="Q39" s="441"/>
      <c r="R39" s="441"/>
      <c r="S39" s="2338" t="s">
        <v>91</v>
      </c>
      <c r="T39" s="2274" t="s">
        <v>444</v>
      </c>
      <c r="U39" s="366"/>
      <c r="V39" s="2339" t="s">
        <v>445</v>
      </c>
      <c r="W39" s="2340"/>
      <c r="X39" s="2340"/>
      <c r="Y39" s="2340"/>
      <c r="Z39" s="2340"/>
      <c r="AA39" s="2340"/>
      <c r="AB39" s="2341"/>
      <c r="AC39" s="2342" t="s">
        <v>446</v>
      </c>
      <c r="AD39" s="2339" t="s">
        <v>445</v>
      </c>
      <c r="AE39" s="2340"/>
      <c r="AF39" s="2340"/>
      <c r="AG39" s="2340"/>
      <c r="AH39" s="2340"/>
      <c r="AI39" s="2340"/>
      <c r="AJ39" s="2341"/>
      <c r="AK39" s="2342" t="s">
        <v>447</v>
      </c>
      <c r="AL39" s="4660" t="s">
        <v>445</v>
      </c>
      <c r="AM39" s="4661"/>
      <c r="AN39" s="4661"/>
      <c r="AO39" s="4661"/>
      <c r="AP39" s="4661"/>
      <c r="AQ39" s="4661"/>
      <c r="AR39" s="4662"/>
      <c r="AS39" s="5936" t="s">
        <v>446</v>
      </c>
      <c r="AT39" s="2345" t="s">
        <v>448</v>
      </c>
      <c r="AU39" s="2192"/>
      <c r="BA39" s="1220">
        <v>14</v>
      </c>
    </row>
    <row customHeight="1" ht="35.699999999999996">
      <c r="Q40" s="441"/>
      <c r="R40" s="441"/>
      <c r="S40" s="2338"/>
      <c r="T40" s="2274"/>
      <c r="U40" s="1096"/>
      <c r="V40" s="2325" t="s">
        <v>449</v>
      </c>
      <c r="W40" s="2348" t="s">
        <v>450</v>
      </c>
      <c r="X40" s="2327" t="s">
        <v>451</v>
      </c>
      <c r="Y40" s="2328"/>
      <c r="Z40" s="2327" t="s">
        <v>467</v>
      </c>
      <c r="AA40" s="2334"/>
      <c r="AB40" s="2328"/>
      <c r="AC40" s="2343"/>
      <c r="AD40" s="2325" t="s">
        <v>449</v>
      </c>
      <c r="AE40" s="2348" t="s">
        <v>450</v>
      </c>
      <c r="AF40" s="2327" t="s">
        <v>451</v>
      </c>
      <c r="AG40" s="2328"/>
      <c r="AH40" s="2327" t="s">
        <v>452</v>
      </c>
      <c r="AI40" s="2334"/>
      <c r="AJ40" s="2328"/>
      <c r="AK40" s="2343"/>
      <c r="AL40" s="4997" t="s">
        <v>449</v>
      </c>
      <c r="AM40" s="3755" t="s">
        <v>450</v>
      </c>
      <c r="AN40" s="5167" t="s">
        <v>451</v>
      </c>
      <c r="AO40" s="4646"/>
      <c r="AP40" s="5167" t="s">
        <v>467</v>
      </c>
      <c r="AQ40" s="5179"/>
      <c r="AR40" s="4646"/>
      <c r="AS40" s="5938"/>
      <c r="AT40" s="2346"/>
      <c r="AU40" s="2192"/>
      <c r="BA40" s="1220">
        <v>34</v>
      </c>
    </row>
    <row customHeight="1" ht="35.699999999999996">
      <c r="A41" s="1435"/>
      <c r="B41" s="1435" t="s">
        <v>138</v>
      </c>
      <c r="C41" s="1435" t="s">
        <v>139</v>
      </c>
      <c r="D41" s="1435" t="s">
        <v>140</v>
      </c>
      <c r="E41" s="1429" t="s">
        <v>453</v>
      </c>
      <c r="F41" s="1429" t="s">
        <v>454</v>
      </c>
      <c r="G41" s="1429" t="s">
        <v>455</v>
      </c>
      <c r="H41" s="1429" t="s">
        <v>456</v>
      </c>
      <c r="I41" s="1429" t="s">
        <v>457</v>
      </c>
      <c r="J41" s="1429" t="s">
        <v>458</v>
      </c>
      <c r="K41" s="1429" t="s">
        <v>459</v>
      </c>
      <c r="L41" s="1429" t="s">
        <v>434</v>
      </c>
      <c r="Q41" s="441"/>
      <c r="R41" s="441"/>
      <c r="S41" s="2338"/>
      <c r="T41" s="2274"/>
      <c r="U41" s="367"/>
      <c r="V41" s="2326"/>
      <c r="W41" s="2349"/>
      <c r="X41" s="1287" t="s">
        <v>460</v>
      </c>
      <c r="Y41" s="1287" t="s">
        <v>461</v>
      </c>
      <c r="Z41" s="1403" t="s">
        <v>462</v>
      </c>
      <c r="AA41" s="2335" t="s">
        <v>463</v>
      </c>
      <c r="AB41" s="2336"/>
      <c r="AC41" s="2344"/>
      <c r="AD41" s="2326"/>
      <c r="AE41" s="2349"/>
      <c r="AF41" s="1287" t="s">
        <v>460</v>
      </c>
      <c r="AG41" s="1287" t="s">
        <v>461</v>
      </c>
      <c r="AH41" s="1403" t="s">
        <v>462</v>
      </c>
      <c r="AI41" s="2335" t="s">
        <v>463</v>
      </c>
      <c r="AJ41" s="2336"/>
      <c r="AK41" s="2344"/>
      <c r="AL41" s="5255"/>
      <c r="AM41" s="5256"/>
      <c r="AN41" s="5602" t="s">
        <v>460</v>
      </c>
      <c r="AO41" s="5602" t="s">
        <v>461</v>
      </c>
      <c r="AP41" s="5602" t="s">
        <v>462</v>
      </c>
      <c r="AQ41" s="4520" t="s">
        <v>463</v>
      </c>
      <c r="AR41" s="4957"/>
      <c r="AS41" s="5940"/>
      <c r="AT41" s="2347"/>
      <c r="AU41" s="2192"/>
      <c r="BA41" s="1220">
        <v>34</v>
      </c>
    </row>
    <row s="4094"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112</v>
      </c>
      <c r="T42" s="1320" t="s">
        <v>113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5603">
        <f>OFFSET(AL42,0,-1)+1</f>
        <v>6</v>
      </c>
      <c r="AM42" s="5603"/>
      <c r="AN42" s="5603">
        <f>OFFSET(AN42,0,-1)+1</f>
        <v>1</v>
      </c>
      <c r="AO42" s="5603">
        <f>OFFSET(AO42,0,-1)+1</f>
        <v>2</v>
      </c>
      <c r="AP42" s="5603">
        <f>OFFSET(AP42,0,-1)+1</f>
        <v>3</v>
      </c>
      <c r="AQ42" s="5603">
        <f>OFFSET(AQ42,0,-1)+1</f>
        <v>4</v>
      </c>
      <c r="AR42" s="5603"/>
      <c r="AS42" s="5941">
        <f>OFFSET(AS42,0,-2)+1</f>
        <v>5</v>
      </c>
      <c r="AT42" s="1310">
        <f>OFFSET(AT42,0,-1)</f>
        <v>5</v>
      </c>
      <c r="AU42" s="1400">
        <f>OFFSET(AU42,0,-1)+1</f>
        <v>6</v>
      </c>
      <c r="AV42" s="576"/>
      <c r="AW42" s="576"/>
      <c r="AX42" s="576"/>
      <c r="AY42" s="576"/>
      <c r="AZ42" s="576"/>
      <c r="BA42" s="561">
        <v>0</v>
      </c>
    </row>
    <row customHeight="1" ht="22.049999999999997">
      <c r="A43" s="1428" t="s">
        <v>173</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1</v>
      </c>
      <c r="T43" s="363" t="s">
        <v>126</v>
      </c>
      <c r="U43" s="365"/>
      <c r="V43" s="2307"/>
      <c r="W43" s="2308"/>
      <c r="X43" s="2308"/>
      <c r="Y43" s="2308"/>
      <c r="Z43" s="2308"/>
      <c r="AA43" s="2308"/>
      <c r="AB43" s="2308"/>
      <c r="AC43" s="2309"/>
      <c r="AD43" s="2307" t="str">
        <f>INDEX(PT_DIFFERENTIATION_NTAR,MATCH(A43,PT_DIFFERENTIATION_NTAR_ID,0))</f>
        <v>Тариф для потребителей, подключенных к тепловым сетям
</v>
      </c>
      <c r="AE43" s="2308"/>
      <c r="AF43" s="2308"/>
      <c r="AG43" s="2308"/>
      <c r="AH43" s="2308"/>
      <c r="AI43" s="2308"/>
      <c r="AJ43" s="2308"/>
      <c r="AK43" s="2308"/>
      <c r="AL43" s="3922"/>
      <c r="AM43" s="4210"/>
      <c r="AN43" s="4210"/>
      <c r="AO43" s="4210"/>
      <c r="AP43" s="4210"/>
      <c r="AQ43" s="4210"/>
      <c r="AR43" s="4210"/>
      <c r="AS43" s="5910"/>
      <c r="AT43" s="2309"/>
      <c r="AU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5"/>
      <c r="AX43" s="565" t="str">
        <f>IF(T43="","",T43)</f>
        <v>Наименование тарифа</v>
      </c>
      <c r="AY43" s="565"/>
      <c r="AZ43" s="565"/>
      <c r="BA43" s="1220">
        <v>21</v>
      </c>
    </row>
    <row customHeight="1" ht="22.049999999999997">
      <c r="A44" s="1428" t="s">
        <v>173</v>
      </c>
      <c r="B44" s="1428" t="s">
        <v>174</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1.1</v>
      </c>
      <c r="T44" s="373" t="s">
        <v>416</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3922"/>
      <c r="AM44" s="4210"/>
      <c r="AN44" s="4210"/>
      <c r="AO44" s="4210"/>
      <c r="AP44" s="4210"/>
      <c r="AQ44" s="4210"/>
      <c r="AR44" s="4210"/>
      <c r="AS44" s="5910"/>
      <c r="AT44" s="2309"/>
      <c r="AU44" s="1323" t="s">
        <v>417</v>
      </c>
      <c r="AW44" s="565"/>
      <c r="AX44" s="565" t="str">
        <f>IF(T44="","",T44)</f>
        <v>Территория действия тарифа</v>
      </c>
      <c r="AY44" s="565"/>
      <c r="AZ44" s="565"/>
      <c r="BA44" s="1220">
        <v>21</v>
      </c>
    </row>
    <row customHeight="1" ht="24">
      <c r="A45" s="1428" t="s">
        <v>173</v>
      </c>
      <c r="B45" s="1428" t="s">
        <v>174</v>
      </c>
      <c r="C45" s="1428" t="s">
        <v>175</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1.1.1</v>
      </c>
      <c r="T45" s="374" t="s">
        <v>418</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3922"/>
      <c r="AM45" s="4210"/>
      <c r="AN45" s="4210"/>
      <c r="AO45" s="4210"/>
      <c r="AP45" s="4210"/>
      <c r="AQ45" s="4210"/>
      <c r="AR45" s="4210"/>
      <c r="AS45" s="5910"/>
      <c r="AT45" s="2309"/>
      <c r="AU45" s="1323" t="s">
        <v>419</v>
      </c>
      <c r="AW45" s="565"/>
      <c r="AX45" s="565" t="str">
        <f>IF(T45="","",T45)</f>
        <v>Наименование системы теплоснабжения </v>
      </c>
      <c r="AY45" s="565"/>
      <c r="AZ45" s="565"/>
      <c r="BA45" s="1220">
        <v>23</v>
      </c>
    </row>
    <row customHeight="1" ht="22.049999999999997">
      <c r="A46" s="1428" t="s">
        <v>173</v>
      </c>
      <c r="B46" s="1428" t="s">
        <v>174</v>
      </c>
      <c r="C46" s="1428" t="s">
        <v>175</v>
      </c>
      <c r="D46" s="1428" t="s">
        <v>176</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1.1.1.1</v>
      </c>
      <c r="T46" s="375" t="s">
        <v>420</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3922"/>
      <c r="AM46" s="4210"/>
      <c r="AN46" s="4210"/>
      <c r="AO46" s="4210"/>
      <c r="AP46" s="4210"/>
      <c r="AQ46" s="4210"/>
      <c r="AR46" s="4210"/>
      <c r="AS46" s="5910"/>
      <c r="AT46" s="2309"/>
      <c r="AU46" s="1323" t="s">
        <v>421</v>
      </c>
      <c r="AW46" s="565"/>
      <c r="AX46" s="565" t="str">
        <f>IF(T46="","",T46)</f>
        <v>Источник тепловой энергии  </v>
      </c>
      <c r="AY46" s="565"/>
      <c r="AZ46" s="565"/>
      <c r="BA46" s="1220">
        <v>21</v>
      </c>
    </row>
    <row customHeight="1" ht="49.5">
      <c r="A47" s="1428" t="s">
        <v>173</v>
      </c>
      <c r="B47" s="1428" t="s">
        <v>174</v>
      </c>
      <c r="C47" s="1428" t="s">
        <v>175</v>
      </c>
      <c r="D47" s="1428" t="s">
        <v>176</v>
      </c>
      <c r="E47" s="2324"/>
      <c r="F47" s="2324"/>
      <c r="G47" s="2324"/>
      <c r="H47" s="2324"/>
      <c r="I47" s="2321" t="str">
        <f>S46&amp;".1"</f>
        <v>1.1.1.1.1</v>
      </c>
      <c r="J47" s="1428"/>
      <c r="K47" s="1428"/>
      <c r="L47" s="1429" t="s">
        <v>422</v>
      </c>
      <c r="P47" s="2322">
        <v>1</v>
      </c>
      <c r="Q47" s="1396"/>
      <c r="R47" s="421"/>
      <c r="S47" s="1401" t="str">
        <f>$I47</f>
        <v>1.1.1.1.1</v>
      </c>
      <c r="T47" s="350" t="s">
        <v>423</v>
      </c>
      <c r="U47" s="365"/>
      <c r="V47" s="2310"/>
      <c r="W47" s="2311"/>
      <c r="X47" s="2311"/>
      <c r="Y47" s="2311"/>
      <c r="Z47" s="2311"/>
      <c r="AA47" s="2311"/>
      <c r="AB47" s="2311"/>
      <c r="AC47" s="2312"/>
      <c r="AD47" s="2310" t="s">
        <v>468</v>
      </c>
      <c r="AE47" s="2311"/>
      <c r="AF47" s="2311"/>
      <c r="AG47" s="2311"/>
      <c r="AH47" s="2311"/>
      <c r="AI47" s="2311"/>
      <c r="AJ47" s="2311"/>
      <c r="AK47" s="2311"/>
      <c r="AL47" s="5289"/>
      <c r="AM47" s="3956"/>
      <c r="AN47" s="3956"/>
      <c r="AO47" s="3956"/>
      <c r="AP47" s="3956"/>
      <c r="AQ47" s="3956"/>
      <c r="AR47" s="3956"/>
      <c r="AS47" s="5912"/>
      <c r="AT47" s="2312"/>
      <c r="AU47" s="1323" t="s">
        <v>424</v>
      </c>
      <c r="AW47" s="565"/>
      <c r="AX47" s="565" t="str">
        <f>IF(T47="","",T47)</f>
        <v>Схема подключения теплопотребляющей установки к коллектору источника тепловой энергии</v>
      </c>
      <c r="AY47" s="565"/>
      <c r="AZ47" s="565"/>
      <c r="BA47" s="1220">
        <v>47</v>
      </c>
    </row>
    <row customHeight="1" ht="22.049999999999997">
      <c r="A48" s="1428" t="s">
        <v>173</v>
      </c>
      <c r="B48" s="1428" t="s">
        <v>174</v>
      </c>
      <c r="C48" s="1428" t="s">
        <v>175</v>
      </c>
      <c r="D48" s="1428" t="s">
        <v>176</v>
      </c>
      <c r="E48" s="2324"/>
      <c r="F48" s="2324"/>
      <c r="G48" s="2324"/>
      <c r="H48" s="2324"/>
      <c r="I48" s="2351"/>
      <c r="J48" s="2321" t="str">
        <f>I47&amp;".1"</f>
        <v>1.1.1.1.1.1</v>
      </c>
      <c r="K48" s="1428"/>
      <c r="L48" s="1429" t="s">
        <v>425</v>
      </c>
      <c r="P48" s="2322"/>
      <c r="Q48" s="2322">
        <v>1</v>
      </c>
      <c r="R48" s="422"/>
      <c r="S48" s="1401" t="str">
        <f>$J48</f>
        <v>1.1.1.1.1.1</v>
      </c>
      <c r="T48" s="351" t="s">
        <v>426</v>
      </c>
      <c r="U48" s="365"/>
      <c r="V48" s="2310"/>
      <c r="W48" s="2311"/>
      <c r="X48" s="2311"/>
      <c r="Y48" s="2311"/>
      <c r="Z48" s="2311"/>
      <c r="AA48" s="2311"/>
      <c r="AB48" s="2311"/>
      <c r="AC48" s="2312"/>
      <c r="AD48" s="2310" t="s">
        <v>465</v>
      </c>
      <c r="AE48" s="2311"/>
      <c r="AF48" s="2311"/>
      <c r="AG48" s="2311"/>
      <c r="AH48" s="2311"/>
      <c r="AI48" s="2311"/>
      <c r="AJ48" s="2311"/>
      <c r="AK48" s="2311"/>
      <c r="AL48" s="5289"/>
      <c r="AM48" s="3956"/>
      <c r="AN48" s="3956"/>
      <c r="AO48" s="3956"/>
      <c r="AP48" s="3956"/>
      <c r="AQ48" s="3956"/>
      <c r="AR48" s="3956"/>
      <c r="AS48" s="5912"/>
      <c r="AT48" s="2312"/>
      <c r="AU48" s="1323" t="s">
        <v>427</v>
      </c>
      <c r="AW48" s="565"/>
      <c r="AX48" s="565" t="str">
        <f>IF(T48="","",T48)</f>
        <v>Группа потребителей</v>
      </c>
      <c r="AY48" s="565"/>
      <c r="AZ48" s="565"/>
      <c r="BA48" s="1220">
        <v>21</v>
      </c>
    </row>
    <row customHeight="1" ht="22.049999999999997">
      <c r="A49" s="1428" t="s">
        <v>173</v>
      </c>
      <c r="B49" s="1428" t="s">
        <v>174</v>
      </c>
      <c r="C49" s="1428" t="s">
        <v>175</v>
      </c>
      <c r="D49" s="1428" t="s">
        <v>176</v>
      </c>
      <c r="E49" s="2324"/>
      <c r="F49" s="2324"/>
      <c r="G49" s="2324"/>
      <c r="H49" s="2324"/>
      <c r="I49" s="2351"/>
      <c r="J49" s="2351"/>
      <c r="K49" s="2321" t="str">
        <f>J48&amp;".1"</f>
        <v>1.1.1.1.1.1.1</v>
      </c>
      <c r="L49" s="1429" t="s">
        <v>428</v>
      </c>
      <c r="P49" s="2322"/>
      <c r="Q49" s="2322"/>
      <c r="R49" s="422">
        <v>1</v>
      </c>
      <c r="S49" s="1401" t="str">
        <f>$K49</f>
        <v>1.1.1.1.1.1.1</v>
      </c>
      <c r="T49" s="1412" t="s">
        <v>466</v>
      </c>
      <c r="U49" s="365"/>
      <c r="V49" s="816"/>
      <c r="W49" s="390"/>
      <c r="X49" s="816"/>
      <c r="Y49" s="1322"/>
      <c r="Z49" s="2330"/>
      <c r="AA49" s="2172" t="s">
        <v>64</v>
      </c>
      <c r="AB49" s="2330"/>
      <c r="AC49" s="2172" t="s">
        <v>64</v>
      </c>
      <c r="AD49" s="816">
        <v>2011.1</v>
      </c>
      <c r="AE49" s="390"/>
      <c r="AF49" s="816"/>
      <c r="AG49" s="1322"/>
      <c r="AH49" s="5608">
        <v>45658.529699074075</v>
      </c>
      <c r="AI49" s="2172" t="s">
        <v>64</v>
      </c>
      <c r="AJ49" s="3830">
        <v>45838.529814814814</v>
      </c>
      <c r="AK49" s="2172" t="s">
        <v>64</v>
      </c>
      <c r="AL49" s="4296">
        <v>2349.77</v>
      </c>
      <c r="AM49" s="3966"/>
      <c r="AN49" s="4296"/>
      <c r="AO49" s="3965"/>
      <c r="AP49" s="5608">
        <v>45839.39671296296</v>
      </c>
      <c r="AQ49" s="4650" t="s">
        <v>64</v>
      </c>
      <c r="AR49" s="5608">
        <v>46022.39685185185</v>
      </c>
      <c r="AS49" s="4650" t="s">
        <v>64</v>
      </c>
      <c r="AT49" s="1413"/>
      <c r="AU49" s="2318" t="s">
        <v>429</v>
      </c>
      <c r="AV49" s="576">
        <f>STRCHECKDATE(V50:AT50)</f>
      </c>
      <c r="AW49" s="565"/>
      <c r="AX49" s="565" t="str">
        <f>IF(T49="","",T49)</f>
        <v>вода</v>
      </c>
      <c r="AY49" s="565"/>
      <c r="AZ49" s="565"/>
      <c r="BA49" s="1220">
        <v>21</v>
      </c>
    </row>
    <row customHeight="1" ht="1.05">
      <c r="A50" s="1428" t="s">
        <v>173</v>
      </c>
      <c r="B50" s="1428" t="s">
        <v>174</v>
      </c>
      <c r="C50" s="1428" t="s">
        <v>175</v>
      </c>
      <c r="D50" s="1428" t="s">
        <v>176</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45658.529699074075-45838.529814814814</v>
      </c>
      <c r="AH50" s="2331"/>
      <c r="AI50" s="2172"/>
      <c r="AJ50" s="2353"/>
      <c r="AK50" s="2172"/>
      <c r="AL50" s="3966"/>
      <c r="AM50" s="3966"/>
      <c r="AN50" s="3966"/>
      <c r="AO50" s="3976" t="str">
        <f>AP49&amp;"-"&amp;AR49</f>
        <v>45839.39671296296-46022.39685185185</v>
      </c>
      <c r="AP50" s="5453"/>
      <c r="AQ50" s="4650"/>
      <c r="AR50" s="5453"/>
      <c r="AS50" s="4650"/>
      <c r="AT50" s="1414"/>
      <c r="AU50" s="2319"/>
      <c r="AW50" s="565"/>
      <c r="AX50" s="565" t="str">
        <f>IF(T50="","",T50)</f>
        <v/>
      </c>
      <c r="AY50" s="565"/>
      <c r="AZ50" s="565"/>
      <c r="BA50" s="1220">
        <v>1</v>
      </c>
    </row>
    <row customHeight="1" ht="11.549999999999999">
      <c r="A51" s="1428" t="s">
        <v>173</v>
      </c>
      <c r="B51" s="1428" t="s">
        <v>174</v>
      </c>
      <c r="C51" s="1428" t="s">
        <v>175</v>
      </c>
      <c r="D51" s="1428" t="s">
        <v>176</v>
      </c>
      <c r="E51" s="2324"/>
      <c r="F51" s="2324"/>
      <c r="G51" s="2324"/>
      <c r="H51" s="2324"/>
      <c r="I51" s="2351"/>
      <c r="J51" s="2321"/>
      <c r="K51" s="1428"/>
      <c r="L51" s="1429"/>
      <c r="P51" s="2322"/>
      <c r="Q51" s="2322"/>
      <c r="R51" s="421"/>
      <c r="S51" s="1343"/>
      <c r="T51" s="353" t="s">
        <v>430</v>
      </c>
      <c r="U51" s="432"/>
      <c r="V51" s="432"/>
      <c r="W51" s="432"/>
      <c r="X51" s="432"/>
      <c r="Y51" s="432"/>
      <c r="Z51" s="432"/>
      <c r="AA51" s="432"/>
      <c r="AB51" s="432"/>
      <c r="AC51" s="432"/>
      <c r="AD51" s="432"/>
      <c r="AE51" s="432"/>
      <c r="AF51" s="432"/>
      <c r="AG51" s="432"/>
      <c r="AH51" s="432"/>
      <c r="AI51" s="432"/>
      <c r="AJ51" s="432"/>
      <c r="AK51" s="432"/>
      <c r="AL51" s="5741"/>
      <c r="AM51" s="5742"/>
      <c r="AN51" s="5743"/>
      <c r="AO51" s="5744"/>
      <c r="AP51" s="5745"/>
      <c r="AQ51" s="5746"/>
      <c r="AR51" s="5747"/>
      <c r="AS51" s="5952"/>
      <c r="AT51" s="389"/>
      <c r="AU51" s="2320"/>
      <c r="AW51" s="565"/>
      <c r="AX51" s="565" t="str">
        <f>IF(T51="","",T51)</f>
        <v>Добавить вид теплоносителя (параметры теплоносителя)</v>
      </c>
      <c r="AY51" s="565"/>
      <c r="AZ51" s="565"/>
      <c r="BA51" s="1220">
        <v>11</v>
      </c>
    </row>
    <row s="5662" customFormat="1" customHeight="1" ht="21">
      <c r="A52" s="3642"/>
      <c r="B52" s="3642"/>
      <c r="C52" s="3642"/>
      <c r="D52" s="3642"/>
      <c r="E52" s="3656"/>
      <c r="F52" s="3656"/>
      <c r="G52" s="3656"/>
      <c r="H52" s="3656"/>
      <c r="I52" s="3673"/>
      <c r="J52" s="5258" t="str">
        <f>I47&amp;".2"</f>
        <v>1.1.1.1.1.2</v>
      </c>
      <c r="K52" s="3642"/>
      <c r="L52" s="3727" t="s">
        <v>425</v>
      </c>
      <c r="M52" s="4903"/>
      <c r="N52" s="4903"/>
      <c r="O52" s="4107"/>
      <c r="P52" s="5607"/>
      <c r="Q52" s="4826" t="s">
        <v>193</v>
      </c>
      <c r="R52" s="3953"/>
      <c r="S52" s="5604" t="str">
        <f>$J52</f>
        <v>1.1.1.1.1.2</v>
      </c>
      <c r="T52" s="3954" t="s">
        <v>426</v>
      </c>
      <c r="U52" s="3921"/>
      <c r="V52" s="5289"/>
      <c r="W52" s="3956"/>
      <c r="X52" s="3956"/>
      <c r="Y52" s="3956"/>
      <c r="Z52" s="3956"/>
      <c r="AA52" s="3956"/>
      <c r="AB52" s="3956"/>
      <c r="AC52" s="3959"/>
      <c r="AD52" s="5289" t="s">
        <v>469</v>
      </c>
      <c r="AE52" s="3956"/>
      <c r="AF52" s="3956"/>
      <c r="AG52" s="3956"/>
      <c r="AH52" s="3956"/>
      <c r="AI52" s="3956"/>
      <c r="AJ52" s="3956"/>
      <c r="AK52" s="3956"/>
      <c r="AL52" s="5289"/>
      <c r="AM52" s="3956"/>
      <c r="AN52" s="3956"/>
      <c r="AO52" s="3956"/>
      <c r="AP52" s="3956"/>
      <c r="AQ52" s="3956"/>
      <c r="AR52" s="3956"/>
      <c r="AS52" s="5912"/>
      <c r="AT52" s="3959"/>
      <c r="AU52" s="3925" t="s">
        <v>427</v>
      </c>
      <c r="AV52" s="4423"/>
      <c r="AW52" s="4866"/>
      <c r="AX52" s="4866" t="str">
        <f>IF(T52="","",T52)</f>
        <v>Группа потребителей</v>
      </c>
      <c r="AY52" s="4866"/>
      <c r="AZ52" s="4866"/>
      <c r="BA52" s="4921">
        <v>0</v>
      </c>
    </row>
    <row s="5662" customFormat="1" customHeight="1" ht="21">
      <c r="A53" s="3642"/>
      <c r="B53" s="3642"/>
      <c r="C53" s="3642"/>
      <c r="D53" s="3642"/>
      <c r="E53" s="3656"/>
      <c r="F53" s="3656"/>
      <c r="G53" s="3656"/>
      <c r="H53" s="3656"/>
      <c r="I53" s="3673"/>
      <c r="J53" s="3673" t="str">
        <f>I47&amp;".1"</f>
        <v>1.1.1.1.1.1</v>
      </c>
      <c r="K53" s="5258" t="str">
        <f>J52&amp;".1"</f>
        <v>1.1.1.1.1.2.1</v>
      </c>
      <c r="L53" s="3727" t="s">
        <v>428</v>
      </c>
      <c r="M53" s="4903"/>
      <c r="N53" s="4903"/>
      <c r="O53" s="4903"/>
      <c r="P53" s="5607"/>
      <c r="Q53" s="5607"/>
      <c r="R53" s="3953">
        <v>1</v>
      </c>
      <c r="S53" s="5604" t="str">
        <f>$K53</f>
        <v>1.1.1.1.1.2.1</v>
      </c>
      <c r="T53" s="3961" t="s">
        <v>466</v>
      </c>
      <c r="U53" s="3921"/>
      <c r="V53" s="4296"/>
      <c r="W53" s="3966"/>
      <c r="X53" s="4296"/>
      <c r="Y53" s="3965"/>
      <c r="Z53" s="5608"/>
      <c r="AA53" s="4650" t="s">
        <v>64</v>
      </c>
      <c r="AB53" s="5608"/>
      <c r="AC53" s="4650" t="s">
        <v>64</v>
      </c>
      <c r="AD53" s="4296">
        <v>2413.32</v>
      </c>
      <c r="AE53" s="3966"/>
      <c r="AF53" s="4296"/>
      <c r="AG53" s="3965"/>
      <c r="AH53" s="5608">
        <v>45658.39797453704</v>
      </c>
      <c r="AI53" s="4650" t="s">
        <v>64</v>
      </c>
      <c r="AJ53" s="5608">
        <v>45838.39803240741</v>
      </c>
      <c r="AK53" s="4650" t="s">
        <v>64</v>
      </c>
      <c r="AL53" s="4296">
        <v>2819.72</v>
      </c>
      <c r="AM53" s="3966"/>
      <c r="AN53" s="4296"/>
      <c r="AO53" s="3965"/>
      <c r="AP53" s="5608">
        <v>45839.39842592592</v>
      </c>
      <c r="AQ53" s="4650" t="s">
        <v>64</v>
      </c>
      <c r="AR53" s="5608">
        <v>46022.39853009259</v>
      </c>
      <c r="AS53" s="4650" t="s">
        <v>64</v>
      </c>
      <c r="AT53" s="3966"/>
      <c r="AU53" s="3971" t="s">
        <v>429</v>
      </c>
      <c r="AV53" s="4423">
        <f>STRCHECKDATE(V54:AT54)</f>
      </c>
      <c r="AW53" s="4866"/>
      <c r="AX53" s="4866" t="str">
        <f>IF(T53="","",T53)</f>
        <v>вода</v>
      </c>
      <c r="AY53" s="4866"/>
      <c r="AZ53" s="4866"/>
      <c r="BA53" s="4921">
        <v>0</v>
      </c>
    </row>
    <row s="5662" customFormat="1" customHeight="1" ht="0.75">
      <c r="A54" s="3642"/>
      <c r="B54" s="3642"/>
      <c r="C54" s="3642"/>
      <c r="D54" s="3642"/>
      <c r="E54" s="3656"/>
      <c r="F54" s="3656"/>
      <c r="G54" s="3656"/>
      <c r="H54" s="3656"/>
      <c r="I54" s="3673"/>
      <c r="J54" s="3673" t="str">
        <f>I47&amp;".1"</f>
        <v>1.1.1.1.1.1</v>
      </c>
      <c r="K54" s="5258"/>
      <c r="L54" s="3727"/>
      <c r="M54" s="4903"/>
      <c r="N54" s="4903"/>
      <c r="O54" s="4903"/>
      <c r="P54" s="5607"/>
      <c r="Q54" s="5607"/>
      <c r="R54" s="3953"/>
      <c r="S54" s="5609"/>
      <c r="T54" s="3921"/>
      <c r="U54" s="3921"/>
      <c r="V54" s="3966"/>
      <c r="W54" s="3966"/>
      <c r="X54" s="3966"/>
      <c r="Y54" s="3976" t="str">
        <f>Z53&amp;"-"&amp;AB53</f>
        <v>-</v>
      </c>
      <c r="Z54" s="5453"/>
      <c r="AA54" s="4650"/>
      <c r="AB54" s="5453"/>
      <c r="AC54" s="4650"/>
      <c r="AD54" s="3966"/>
      <c r="AE54" s="3966"/>
      <c r="AF54" s="3966"/>
      <c r="AG54" s="3976" t="str">
        <f>AH53&amp;"-"&amp;AJ53</f>
        <v>45658.39797453704-45838.39803240741</v>
      </c>
      <c r="AH54" s="5453"/>
      <c r="AI54" s="4650"/>
      <c r="AJ54" s="5453"/>
      <c r="AK54" s="4650"/>
      <c r="AL54" s="3966"/>
      <c r="AM54" s="3966"/>
      <c r="AN54" s="3966"/>
      <c r="AO54" s="3976" t="str">
        <f>AP53&amp;"-"&amp;AR53</f>
        <v>45839.39842592592-46022.39853009259</v>
      </c>
      <c r="AP54" s="5453"/>
      <c r="AQ54" s="4650"/>
      <c r="AR54" s="5453"/>
      <c r="AS54" s="4650"/>
      <c r="AT54" s="3966"/>
      <c r="AU54" s="3977"/>
      <c r="AV54" s="4423"/>
      <c r="AW54" s="4866"/>
      <c r="AX54" s="4866" t="str">
        <f>IF(T54="","",T54)</f>
        <v/>
      </c>
      <c r="AY54" s="4866"/>
      <c r="AZ54" s="4866"/>
      <c r="BA54" s="4921">
        <v>0</v>
      </c>
    </row>
    <row s="5662" customFormat="1" customHeight="1" ht="15">
      <c r="A55" s="3642"/>
      <c r="B55" s="3642"/>
      <c r="C55" s="3642"/>
      <c r="D55" s="3642"/>
      <c r="E55" s="3656"/>
      <c r="F55" s="3656"/>
      <c r="G55" s="3656"/>
      <c r="H55" s="3656"/>
      <c r="I55" s="3673"/>
      <c r="J55" s="5258" t="str">
        <f>I47&amp;".1"</f>
        <v>1.1.1.1.1.1</v>
      </c>
      <c r="K55" s="3642"/>
      <c r="L55" s="3727"/>
      <c r="M55" s="4903"/>
      <c r="N55" s="4903"/>
      <c r="O55" s="4107"/>
      <c r="P55" s="5607"/>
      <c r="Q55" s="5607"/>
      <c r="R55" s="3943"/>
      <c r="S55" s="5749"/>
      <c r="T55" s="5750" t="s">
        <v>430</v>
      </c>
      <c r="U55" s="5751"/>
      <c r="V55" s="5752"/>
      <c r="W55" s="5753"/>
      <c r="X55" s="5754"/>
      <c r="Y55" s="5755"/>
      <c r="Z55" s="5756"/>
      <c r="AA55" s="5757"/>
      <c r="AB55" s="5758"/>
      <c r="AC55" s="5759"/>
      <c r="AD55" s="5760"/>
      <c r="AE55" s="5761"/>
      <c r="AF55" s="5762"/>
      <c r="AG55" s="5763"/>
      <c r="AH55" s="5764"/>
      <c r="AI55" s="5765"/>
      <c r="AJ55" s="5766"/>
      <c r="AK55" s="5767"/>
      <c r="AL55" s="5768"/>
      <c r="AM55" s="5769"/>
      <c r="AN55" s="5770"/>
      <c r="AO55" s="5771"/>
      <c r="AP55" s="5772"/>
      <c r="AQ55" s="5773"/>
      <c r="AR55" s="5774"/>
      <c r="AS55" s="5953"/>
      <c r="AT55" s="5776"/>
      <c r="AU55" s="4016"/>
      <c r="AV55" s="4423"/>
      <c r="AW55" s="4866"/>
      <c r="AX55" s="4866" t="str">
        <f>IF(T55="","",T55)</f>
        <v>Добавить вид теплоносителя (параметры теплоносителя)</v>
      </c>
      <c r="AY55" s="4866"/>
      <c r="AZ55" s="4866"/>
      <c r="BA55" s="4921">
        <v>0</v>
      </c>
    </row>
    <row customHeight="1" ht="11.549999999999999">
      <c r="A56" s="1428" t="s">
        <v>173</v>
      </c>
      <c r="B56" s="1428" t="s">
        <v>174</v>
      </c>
      <c r="C56" s="1428" t="s">
        <v>175</v>
      </c>
      <c r="D56" s="1428" t="s">
        <v>176</v>
      </c>
      <c r="E56" s="2324"/>
      <c r="F56" s="2324"/>
      <c r="G56" s="2324"/>
      <c r="H56" s="2324"/>
      <c r="I56" s="2321"/>
      <c r="J56" s="1428"/>
      <c r="K56" s="1428"/>
      <c r="L56" s="1429"/>
      <c r="P56" s="2322"/>
      <c r="Q56" s="1396"/>
      <c r="R56" s="421"/>
      <c r="S56" s="1343"/>
      <c r="T56" s="352" t="s">
        <v>431</v>
      </c>
      <c r="U56" s="432"/>
      <c r="V56" s="432"/>
      <c r="W56" s="432"/>
      <c r="X56" s="432"/>
      <c r="Y56" s="432"/>
      <c r="Z56" s="432"/>
      <c r="AA56" s="432"/>
      <c r="AB56" s="432"/>
      <c r="AC56" s="431"/>
      <c r="AD56" s="432"/>
      <c r="AE56" s="432"/>
      <c r="AF56" s="432"/>
      <c r="AG56" s="432"/>
      <c r="AH56" s="432"/>
      <c r="AI56" s="432"/>
      <c r="AJ56" s="432"/>
      <c r="AK56" s="431"/>
      <c r="AL56" s="5777"/>
      <c r="AM56" s="5778"/>
      <c r="AN56" s="5779"/>
      <c r="AO56" s="5780"/>
      <c r="AP56" s="5781"/>
      <c r="AQ56" s="5782"/>
      <c r="AR56" s="5783"/>
      <c r="AS56" s="5954"/>
      <c r="AT56" s="432"/>
      <c r="AU56" s="368"/>
      <c r="AW56" s="565"/>
      <c r="AX56" s="565" t="str">
        <f>IF(T56="","",T56)</f>
        <v>Добавить группу потребителей</v>
      </c>
      <c r="AY56" s="565"/>
      <c r="AZ56" s="565"/>
      <c r="BA56" s="1220">
        <v>11</v>
      </c>
    </row>
    <row customHeight="1" ht="14.699999999999998">
      <c r="A57" s="1428" t="s">
        <v>173</v>
      </c>
      <c r="B57" s="1428" t="s">
        <v>174</v>
      </c>
      <c r="C57" s="1428" t="s">
        <v>175</v>
      </c>
      <c r="D57" s="1428" t="s">
        <v>176</v>
      </c>
      <c r="E57" s="2324"/>
      <c r="F57" s="2324"/>
      <c r="G57" s="2324"/>
      <c r="H57" s="2323"/>
      <c r="I57" s="1428"/>
      <c r="J57" s="1428"/>
      <c r="K57" s="1428"/>
      <c r="L57" s="1429"/>
      <c r="M57" s="1430"/>
      <c r="N57" s="1430"/>
      <c r="O57" s="602"/>
      <c r="P57" s="425"/>
      <c r="Q57" s="440"/>
      <c r="R57" s="420"/>
      <c r="S57" s="1343"/>
      <c r="T57" s="430" t="s">
        <v>432</v>
      </c>
      <c r="U57" s="432"/>
      <c r="V57" s="432"/>
      <c r="W57" s="432"/>
      <c r="X57" s="432"/>
      <c r="Y57" s="432"/>
      <c r="Z57" s="432"/>
      <c r="AA57" s="432"/>
      <c r="AB57" s="432"/>
      <c r="AC57" s="431"/>
      <c r="AD57" s="432"/>
      <c r="AE57" s="432"/>
      <c r="AF57" s="432"/>
      <c r="AG57" s="432"/>
      <c r="AH57" s="432"/>
      <c r="AI57" s="432"/>
      <c r="AJ57" s="432"/>
      <c r="AK57" s="431"/>
      <c r="AL57" s="5785"/>
      <c r="AM57" s="5786"/>
      <c r="AN57" s="5787"/>
      <c r="AO57" s="5788"/>
      <c r="AP57" s="5789"/>
      <c r="AQ57" s="5790"/>
      <c r="AR57" s="5791"/>
      <c r="AS57" s="5955"/>
      <c r="AT57" s="432"/>
      <c r="AU57" s="368"/>
      <c r="AW57" s="565"/>
      <c r="AX57" s="565" t="str">
        <f>IF(T57="","",T57)</f>
        <v>Добавить схему подключения</v>
      </c>
      <c r="AY57" s="565"/>
      <c r="AZ57" s="565"/>
      <c r="BA57" s="1220">
        <v>14</v>
      </c>
    </row>
    <row s="4423" customFormat="1" customHeight="1" ht="1.05">
      <c r="A58" s="1408" t="s">
        <v>173</v>
      </c>
      <c r="B58" s="1408" t="s">
        <v>174</v>
      </c>
      <c r="C58" s="1408" t="s">
        <v>175</v>
      </c>
      <c r="D58" s="1379"/>
      <c r="E58" s="2324"/>
      <c r="F58" s="2324"/>
      <c r="G58" s="2323"/>
      <c r="H58" s="1379"/>
      <c r="I58" s="1379"/>
      <c r="J58" s="1379"/>
      <c r="K58" s="1379"/>
      <c r="L58" s="1404"/>
      <c r="M58" s="1380"/>
      <c r="N58" s="1380"/>
      <c r="P58" s="1381"/>
      <c r="Q58" s="1382"/>
      <c r="R58" s="1381"/>
      <c r="S58" s="1387"/>
      <c r="T58" s="1390" t="s">
        <v>165</v>
      </c>
      <c r="U58" s="1389"/>
      <c r="V58" s="1389"/>
      <c r="W58" s="1389"/>
      <c r="X58" s="1389"/>
      <c r="Y58" s="1389"/>
      <c r="Z58" s="1389"/>
      <c r="AA58" s="1389"/>
      <c r="AB58" s="1389"/>
      <c r="AC58" s="1389"/>
      <c r="AD58" s="1389"/>
      <c r="AE58" s="1389"/>
      <c r="AF58" s="1389"/>
      <c r="AG58" s="1389"/>
      <c r="AH58" s="1389"/>
      <c r="AI58" s="1389"/>
      <c r="AJ58" s="1389"/>
      <c r="AK58" s="1389"/>
      <c r="AL58" s="4673"/>
      <c r="AM58" s="4673"/>
      <c r="AN58" s="4673"/>
      <c r="AO58" s="4673"/>
      <c r="AP58" s="4673"/>
      <c r="AQ58" s="4673"/>
      <c r="AR58" s="4673"/>
      <c r="AS58" s="4673"/>
      <c r="AT58" s="1389"/>
      <c r="AU58" s="1389"/>
      <c r="AW58" s="854"/>
      <c r="AX58" s="854" t="str">
        <f>IF(T58="","",T58)</f>
        <v>Добавить источник для дифференциации</v>
      </c>
      <c r="AY58" s="854"/>
      <c r="AZ58" s="854"/>
      <c r="BA58" s="583">
        <v>1</v>
      </c>
    </row>
    <row s="4423" customFormat="1" customHeight="1" ht="1.05">
      <c r="A59" s="1408" t="s">
        <v>173</v>
      </c>
      <c r="B59" s="1408" t="s">
        <v>174</v>
      </c>
      <c r="C59" s="1379"/>
      <c r="D59" s="1379"/>
      <c r="E59" s="2324"/>
      <c r="F59" s="2323"/>
      <c r="G59" s="1379"/>
      <c r="H59" s="1379"/>
      <c r="I59" s="1379"/>
      <c r="J59" s="1379"/>
      <c r="K59" s="1379"/>
      <c r="L59" s="1404"/>
      <c r="M59" s="1386"/>
      <c r="N59" s="1386"/>
      <c r="P59" s="1381"/>
      <c r="Q59" s="1382"/>
      <c r="R59" s="1381"/>
      <c r="S59" s="1387"/>
      <c r="T59" s="1390" t="s">
        <v>166</v>
      </c>
      <c r="U59" s="1389"/>
      <c r="V59" s="1389"/>
      <c r="W59" s="1389"/>
      <c r="X59" s="1389"/>
      <c r="Y59" s="1389"/>
      <c r="Z59" s="1389"/>
      <c r="AA59" s="1389"/>
      <c r="AB59" s="1389"/>
      <c r="AC59" s="1389"/>
      <c r="AD59" s="1389"/>
      <c r="AE59" s="1389"/>
      <c r="AF59" s="1389"/>
      <c r="AG59" s="1389"/>
      <c r="AH59" s="1389"/>
      <c r="AI59" s="1389"/>
      <c r="AJ59" s="1389"/>
      <c r="AK59" s="1389"/>
      <c r="AL59" s="4673"/>
      <c r="AM59" s="4673"/>
      <c r="AN59" s="4673"/>
      <c r="AO59" s="4673"/>
      <c r="AP59" s="4673"/>
      <c r="AQ59" s="4673"/>
      <c r="AR59" s="4673"/>
      <c r="AS59" s="4673"/>
      <c r="AT59" s="1389"/>
      <c r="AU59" s="1389"/>
      <c r="AW59" s="854"/>
      <c r="AX59" s="854" t="str">
        <f>IF(T59="","",T59)</f>
        <v>Добавить централизованную систему для дифференциации</v>
      </c>
      <c r="AY59" s="854"/>
      <c r="AZ59" s="854"/>
      <c r="BA59" s="583">
        <v>1</v>
      </c>
    </row>
    <row s="4423" customFormat="1" customHeight="1" ht="1.05">
      <c r="A60" s="1408" t="s">
        <v>173</v>
      </c>
      <c r="B60" s="1408"/>
      <c r="C60" s="1408"/>
      <c r="D60" s="1408"/>
      <c r="E60" s="2323"/>
      <c r="F60" s="1408"/>
      <c r="G60" s="1408"/>
      <c r="H60" s="1408"/>
      <c r="I60" s="1408"/>
      <c r="J60" s="1408"/>
      <c r="K60" s="1408"/>
      <c r="L60" s="1411"/>
      <c r="M60" s="1386"/>
      <c r="N60" s="1386"/>
      <c r="O60" s="583"/>
      <c r="P60" s="445"/>
      <c r="Q60" s="1409"/>
      <c r="R60" s="445"/>
      <c r="S60" s="1387"/>
      <c r="T60" s="1390" t="s">
        <v>167</v>
      </c>
      <c r="U60" s="1389"/>
      <c r="V60" s="1389"/>
      <c r="W60" s="1389"/>
      <c r="X60" s="1389"/>
      <c r="Y60" s="1389"/>
      <c r="Z60" s="1389"/>
      <c r="AA60" s="1389"/>
      <c r="AB60" s="1389"/>
      <c r="AC60" s="1389"/>
      <c r="AD60" s="1389"/>
      <c r="AE60" s="1389"/>
      <c r="AF60" s="1389"/>
      <c r="AG60" s="1389"/>
      <c r="AH60" s="1389"/>
      <c r="AI60" s="1389"/>
      <c r="AJ60" s="1389"/>
      <c r="AK60" s="1389"/>
      <c r="AL60" s="4673"/>
      <c r="AM60" s="4673"/>
      <c r="AN60" s="4673"/>
      <c r="AO60" s="4673"/>
      <c r="AP60" s="4673"/>
      <c r="AQ60" s="4673"/>
      <c r="AR60" s="4673"/>
      <c r="AS60" s="4673"/>
      <c r="AT60" s="1389"/>
      <c r="AU60" s="1389"/>
      <c r="AW60" s="565"/>
      <c r="AX60" s="565" t="str">
        <f>IF(T60="","",T60)</f>
        <v>Добавить территорию для дифференциации</v>
      </c>
      <c r="AY60" s="565"/>
      <c r="AZ60" s="565"/>
      <c r="BA60" s="576">
        <v>1</v>
      </c>
    </row>
    <row s="4423" customFormat="1" customHeight="1" ht="1.05">
      <c r="A61" s="1379"/>
      <c r="B61" s="1379"/>
      <c r="C61" s="1379"/>
      <c r="D61" s="1379"/>
      <c r="E61" s="1408"/>
      <c r="F61" s="1379"/>
      <c r="G61" s="1379"/>
      <c r="H61" s="1379"/>
      <c r="I61" s="1379"/>
      <c r="J61" s="1379"/>
      <c r="K61" s="1379"/>
      <c r="L61" s="1404"/>
      <c r="M61" s="1386"/>
      <c r="N61" s="1386"/>
      <c r="P61" s="1381"/>
      <c r="Q61" s="1382"/>
      <c r="R61" s="1381"/>
      <c r="S61" s="1387"/>
      <c r="T61" s="1390" t="s">
        <v>168</v>
      </c>
      <c r="U61" s="1389"/>
      <c r="V61" s="1389"/>
      <c r="W61" s="1389"/>
      <c r="X61" s="1389"/>
      <c r="Y61" s="1389"/>
      <c r="Z61" s="1389"/>
      <c r="AA61" s="1389"/>
      <c r="AB61" s="1389"/>
      <c r="AC61" s="1389"/>
      <c r="AD61" s="1389"/>
      <c r="AE61" s="1389"/>
      <c r="AF61" s="1389"/>
      <c r="AG61" s="1389"/>
      <c r="AH61" s="1389"/>
      <c r="AI61" s="1389"/>
      <c r="AJ61" s="1389"/>
      <c r="AK61" s="1389"/>
      <c r="AL61" s="4673"/>
      <c r="AM61" s="4673"/>
      <c r="AN61" s="4673"/>
      <c r="AO61" s="4673"/>
      <c r="AP61" s="4673"/>
      <c r="AQ61" s="4673"/>
      <c r="AR61" s="4673"/>
      <c r="AS61" s="4673"/>
      <c r="AT61" s="1389"/>
      <c r="AU61" s="1389"/>
      <c r="AW61" s="854"/>
      <c r="AX61" s="854" t="str">
        <f>IF(T61="","",T61)</f>
        <v>Добавить наименование тарифа</v>
      </c>
      <c r="AY61" s="854"/>
      <c r="AZ61" s="854"/>
      <c r="BA61" s="583">
        <v>1</v>
      </c>
    </row>
    <row customHeight="1" ht="11.549999999999999">
      <c r="M62" s="1225"/>
      <c r="N62" s="1225"/>
      <c r="O62" s="602"/>
      <c r="P62" s="1220"/>
      <c r="Q62" s="1220"/>
      <c r="R62" s="1220"/>
      <c r="S62" s="1220"/>
      <c r="AL62" s="4921"/>
      <c r="AM62" s="4921"/>
      <c r="AN62" s="4921"/>
      <c r="AO62" s="4921"/>
      <c r="AP62" s="4921"/>
      <c r="AQ62" s="4921"/>
      <c r="AR62" s="4921"/>
      <c r="AS62" s="5908"/>
      <c r="AV62" s="1220"/>
      <c r="AW62" s="1220"/>
      <c r="AX62" s="1220"/>
      <c r="AY62" s="1220"/>
      <c r="AZ62" s="1220"/>
      <c r="BA62" s="1220">
        <v>11</v>
      </c>
    </row>
    <row customHeight="1" ht="28.5">
      <c r="O63" s="602"/>
      <c r="S63" s="1318"/>
      <c r="T63" s="2350"/>
      <c r="U63" s="2350"/>
      <c r="V63" s="2350"/>
      <c r="W63" s="2350"/>
      <c r="X63" s="2350"/>
      <c r="Y63" s="2350"/>
      <c r="Z63" s="2350"/>
      <c r="AA63" s="2350"/>
      <c r="AB63" s="2350"/>
      <c r="AC63" s="2350"/>
      <c r="AD63" s="2350"/>
      <c r="AE63" s="2350"/>
      <c r="AF63" s="2350"/>
      <c r="AG63" s="2350"/>
      <c r="AH63" s="2350"/>
      <c r="AI63" s="2350"/>
      <c r="AJ63" s="2350"/>
      <c r="AK63" s="2350"/>
      <c r="AL63" s="5624"/>
      <c r="AM63" s="5624"/>
      <c r="AN63" s="5624"/>
      <c r="AO63" s="5624"/>
      <c r="AP63" s="5624"/>
      <c r="AQ63" s="5624"/>
      <c r="AR63" s="5624"/>
      <c r="AS63" s="5948"/>
      <c r="AT63" s="2350"/>
      <c r="AU63" s="2350"/>
      <c r="BA63" s="1220">
        <v>27</v>
      </c>
    </row>
    <row customHeight="1" ht="65.25">
      <c r="O64" s="602"/>
      <c r="T64" s="2350"/>
      <c r="U64" s="2350"/>
      <c r="V64" s="2350"/>
      <c r="W64" s="2350"/>
      <c r="X64" s="2350"/>
      <c r="Y64" s="2350"/>
      <c r="Z64" s="2350"/>
      <c r="AA64" s="2350"/>
      <c r="AB64" s="2350"/>
      <c r="AC64" s="2350"/>
      <c r="AD64" s="2350"/>
      <c r="AE64" s="2350"/>
      <c r="AF64" s="2350"/>
      <c r="AG64" s="2350"/>
      <c r="AH64" s="2350"/>
      <c r="AI64" s="2350"/>
      <c r="AJ64" s="2350"/>
      <c r="AK64" s="2350"/>
      <c r="AL64" s="5624"/>
      <c r="AM64" s="5624"/>
      <c r="AN64" s="5624"/>
      <c r="AO64" s="5624"/>
      <c r="AP64" s="5624"/>
      <c r="AQ64" s="5624"/>
      <c r="AR64" s="5624"/>
      <c r="AS64" s="5948"/>
      <c r="AT64" s="2350"/>
      <c r="AU64" s="2350"/>
      <c r="BA64" s="1220">
        <v>62</v>
      </c>
    </row>
    <row customHeight="1" ht="14.699999999999998">
      <c r="O65" s="602"/>
      <c r="AL65" s="4921"/>
      <c r="AM65" s="4921"/>
      <c r="AN65" s="4921"/>
      <c r="AO65" s="4921"/>
      <c r="AP65" s="4921"/>
      <c r="AQ65" s="4921"/>
      <c r="AR65" s="4921"/>
      <c r="AS65" s="5908"/>
      <c r="BA65" s="1220">
        <v>14</v>
      </c>
    </row>
    <row customHeight="1" ht="18.75">
      <c r="O66" s="602"/>
      <c r="S66" s="1318"/>
      <c r="T66" s="2350"/>
      <c r="U66" s="2350"/>
      <c r="V66" s="2350"/>
      <c r="W66" s="2350"/>
      <c r="X66" s="2350"/>
      <c r="Y66" s="2350"/>
      <c r="Z66" s="2350"/>
      <c r="AA66" s="2350"/>
      <c r="AB66" s="2350"/>
      <c r="AC66" s="2350"/>
      <c r="AD66" s="2350"/>
      <c r="AE66" s="2350"/>
      <c r="AF66" s="2350"/>
      <c r="AG66" s="2350"/>
      <c r="AH66" s="2350"/>
      <c r="AI66" s="2350"/>
      <c r="AJ66" s="2350"/>
      <c r="AK66" s="2350"/>
      <c r="AL66" s="5624"/>
      <c r="AM66" s="5624"/>
      <c r="AN66" s="5624"/>
      <c r="AO66" s="5624"/>
      <c r="AP66" s="5624"/>
      <c r="AQ66" s="5624"/>
      <c r="AR66" s="5624"/>
      <c r="AS66" s="5948"/>
      <c r="AT66" s="2350"/>
      <c r="AU66" s="2350"/>
      <c r="BA66" s="1220">
        <v>18</v>
      </c>
    </row>
    <row customHeight="1" ht="18.75">
      <c r="O67" s="602"/>
      <c r="T67" s="2350"/>
      <c r="U67" s="2350"/>
      <c r="V67" s="2350"/>
      <c r="W67" s="2350"/>
      <c r="X67" s="2350"/>
      <c r="Y67" s="2350"/>
      <c r="Z67" s="2350"/>
      <c r="AA67" s="2350"/>
      <c r="AB67" s="2350"/>
      <c r="AC67" s="2350"/>
      <c r="AD67" s="2350"/>
      <c r="AE67" s="2350"/>
      <c r="AF67" s="2350"/>
      <c r="AG67" s="2350"/>
      <c r="AH67" s="2350"/>
      <c r="AI67" s="2350"/>
      <c r="AJ67" s="2350"/>
      <c r="AK67" s="2350"/>
      <c r="AL67" s="5624"/>
      <c r="AM67" s="5624"/>
      <c r="AN67" s="5624"/>
      <c r="AO67" s="5624"/>
      <c r="AP67" s="5624"/>
      <c r="AQ67" s="5624"/>
      <c r="AR67" s="5624"/>
      <c r="AS67" s="5948"/>
      <c r="AT67" s="2350"/>
      <c r="AU67" s="2350"/>
      <c r="BA67" s="1220">
        <v>18</v>
      </c>
    </row>
    <row customHeight="1" ht="29.25">
      <c r="O68" s="602"/>
      <c r="S68" s="1318"/>
      <c r="T68" s="2350"/>
      <c r="U68" s="2350"/>
      <c r="V68" s="2350"/>
      <c r="W68" s="2350"/>
      <c r="X68" s="2350"/>
      <c r="Y68" s="2350"/>
      <c r="Z68" s="2350"/>
      <c r="AA68" s="2350"/>
      <c r="AB68" s="2350"/>
      <c r="AC68" s="2350"/>
      <c r="AD68" s="2350"/>
      <c r="AE68" s="2350"/>
      <c r="AF68" s="2350"/>
      <c r="AG68" s="2350"/>
      <c r="AH68" s="2350"/>
      <c r="AI68" s="2350"/>
      <c r="AJ68" s="2350"/>
      <c r="AK68" s="2350"/>
      <c r="AL68" s="5624"/>
      <c r="AM68" s="5624"/>
      <c r="AN68" s="5624"/>
      <c r="AO68" s="5624"/>
      <c r="AP68" s="5624"/>
      <c r="AQ68" s="5624"/>
      <c r="AR68" s="5624"/>
      <c r="AS68" s="5948"/>
      <c r="AT68" s="2350"/>
      <c r="AU68" s="2350"/>
      <c r="BA68" s="1220">
        <v>28</v>
      </c>
    </row>
    <row customHeight="1" ht="22.5" hidden="1">
      <c r="A69" s="1225" t="s">
        <v>85</v>
      </c>
      <c r="B69" s="1225">
        <v>0</v>
      </c>
      <c r="C69" s="1225">
        <v>0</v>
      </c>
      <c r="D69" s="1225">
        <v>0</v>
      </c>
      <c r="E69" s="1225">
        <v>0</v>
      </c>
      <c r="F69" s="1225">
        <v>0</v>
      </c>
      <c r="G69" s="1225">
        <v>0</v>
      </c>
      <c r="H69" s="1225">
        <v>0</v>
      </c>
      <c r="I69" s="1225">
        <v>0</v>
      </c>
      <c r="J69" s="1225">
        <v>0</v>
      </c>
      <c r="K69" s="1225">
        <v>0</v>
      </c>
      <c r="L69" s="1394">
        <v>0</v>
      </c>
      <c r="M69" s="1427">
        <v>0</v>
      </c>
      <c r="N69" s="1427">
        <v>0</v>
      </c>
      <c r="O69" s="1427">
        <v>0</v>
      </c>
      <c r="P69" s="1393">
        <v>3</v>
      </c>
      <c r="Q69" s="409">
        <v>3</v>
      </c>
      <c r="R69" s="409">
        <v>3</v>
      </c>
      <c r="S69" s="646">
        <v>12</v>
      </c>
      <c r="T69" s="1220">
        <v>31</v>
      </c>
      <c r="U69" s="1220">
        <v>0</v>
      </c>
      <c r="V69" s="1220">
        <v>0</v>
      </c>
      <c r="W69" s="1220">
        <v>0</v>
      </c>
      <c r="X69" s="1220">
        <v>0</v>
      </c>
      <c r="Y69" s="1220">
        <v>0</v>
      </c>
      <c r="Z69" s="1220">
        <v>0</v>
      </c>
      <c r="AA69" s="1220">
        <v>0</v>
      </c>
      <c r="AB69" s="1220">
        <v>0</v>
      </c>
      <c r="AC69" s="1220">
        <v>0</v>
      </c>
      <c r="AD69" s="1220">
        <v>24</v>
      </c>
      <c r="AE69" s="1220">
        <v>0</v>
      </c>
      <c r="AF69" s="1220">
        <v>24</v>
      </c>
      <c r="AG69" s="1220">
        <v>24</v>
      </c>
      <c r="AH69" s="1220">
        <v>11</v>
      </c>
      <c r="AI69" s="1220">
        <v>3</v>
      </c>
      <c r="AJ69" s="1220">
        <v>11</v>
      </c>
      <c r="AK69" s="1220">
        <v>0</v>
      </c>
      <c r="AL69" s="4921">
        <v>0</v>
      </c>
      <c r="AM69" s="4921">
        <v>0</v>
      </c>
      <c r="AN69" s="4921">
        <v>0</v>
      </c>
      <c r="AO69" s="4921">
        <v>0</v>
      </c>
      <c r="AP69" s="4921">
        <v>0</v>
      </c>
      <c r="AQ69" s="4921">
        <v>0</v>
      </c>
      <c r="AR69" s="4921">
        <v>0</v>
      </c>
      <c r="AS69" s="5908">
        <v>0</v>
      </c>
      <c r="AT69" s="1220">
        <v>4</v>
      </c>
      <c r="AU69" s="1220">
        <v>115</v>
      </c>
      <c r="AV69" s="576">
        <v>10</v>
      </c>
      <c r="AW69" s="576">
        <v>10</v>
      </c>
      <c r="AX69" s="576">
        <v>10</v>
      </c>
      <c r="AY69" s="576">
        <v>10</v>
      </c>
      <c r="AZ69" s="576">
        <v>10</v>
      </c>
      <c r="BA69" s="1220">
        <v>23</v>
      </c>
    </row>
  </sheetData>
  <sheetProtection formatColumns="0" formatRows="0" autoFilter="0" sort="0" insertRows="0" insertColumns="1" deleteRows="0" deleteColumns="0"/>
  <mergeCells count="153">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66ED1-90C5-D25A-BF0B-25392FC1BF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21" width="10.57421875" hidden="1"/>
    <col min="2" max="2" style="4921" width="11.00390625" hidden="1" customWidth="1"/>
    <col min="3" max="3" style="4921" width="10.57421875" hidden="1"/>
    <col min="4" max="4" style="4921" width="11.8515625" hidden="1" customWidth="1"/>
    <col min="5" max="5" style="4921" width="10.00390625" hidden="1" customWidth="1"/>
    <col min="6" max="6" style="4921" width="8.7109375" hidden="1" customWidth="1"/>
    <col min="7" max="7" style="4921" width="7.57421875" hidden="1" customWidth="1"/>
    <col min="8" max="8" style="4921" width="11.421875" hidden="1" customWidth="1"/>
    <col min="9" max="9" style="4921" width="12.00390625" hidden="1" customWidth="1"/>
    <col min="10" max="10" style="4921" width="9.8515625" hidden="1" customWidth="1"/>
    <col min="11" max="11" style="4921" width="11.421875" hidden="1" customWidth="1"/>
    <col min="12" max="12" style="5606" width="19.140625" hidden="1" customWidth="1"/>
    <col min="13" max="14" style="5625" width="12.28125" hidden="1" customWidth="1"/>
    <col min="15" max="15" style="5625" width="23.421875" hidden="1" customWidth="1"/>
    <col min="16" max="16" style="5625" width="3.00390625" customWidth="1"/>
    <col min="17" max="18" style="4943" width="3.00390625" customWidth="1"/>
    <col min="19" max="19" style="5599" width="12.00390625" customWidth="1"/>
    <col min="20" max="20" style="4921" width="31.00390625" customWidth="1"/>
    <col min="21" max="21" style="4921" width="0.140625" customWidth="1"/>
    <col min="22" max="22" style="4921" width="24.7109375" hidden="1" customWidth="1"/>
    <col min="23" max="23" style="4921" width="0.140625" hidden="1" customWidth="1"/>
    <col min="24" max="25" style="4921" width="24.710937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24.7109375" customWidth="1"/>
    <col min="31" max="31" style="4921" width="0.140625" customWidth="1"/>
    <col min="32" max="33" style="4921" width="24.00390625" customWidth="1"/>
    <col min="34" max="34" style="4921" width="11.00390625" customWidth="1"/>
    <col min="35" max="35" style="4921" width="3.7109375" customWidth="1"/>
    <col min="36" max="36" style="4921" width="11.00390625" customWidth="1"/>
    <col min="37" max="37" style="4921" width="8.57421875" hidden="1" customWidth="1"/>
    <col min="38" max="38" style="4921" width="4.00390625" customWidth="1"/>
    <col min="39" max="39" style="4921" width="115.00390625" customWidth="1"/>
    <col min="40" max="44" style="4423" width="10.00390625" customWidth="1"/>
    <col min="45" max="45" style="4921"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415</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416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417</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418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419</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420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421</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422</v>
      </c>
      <c r="M6" s="1700"/>
      <c r="P6" s="2322">
        <v>1</v>
      </c>
      <c r="Q6" s="2019"/>
      <c r="R6" s="421"/>
      <c r="S6" s="2023">
        <f>$I6</f>
      </c>
      <c r="T6" s="350" t="s">
        <v>423</v>
      </c>
      <c r="U6" s="365"/>
      <c r="V6" s="2310"/>
      <c r="W6" s="2311"/>
      <c r="X6" s="2311"/>
      <c r="Y6" s="2311"/>
      <c r="Z6" s="2311"/>
      <c r="AA6" s="2311"/>
      <c r="AB6" s="2311"/>
      <c r="AC6" s="2312"/>
      <c r="AD6" s="2310"/>
      <c r="AE6" s="2311"/>
      <c r="AF6" s="2311"/>
      <c r="AG6" s="2311"/>
      <c r="AH6" s="2311"/>
      <c r="AI6" s="2311"/>
      <c r="AJ6" s="2311"/>
      <c r="AK6" s="2311"/>
      <c r="AL6" s="2312"/>
      <c r="AM6" s="1323" t="s">
        <v>424</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425</v>
      </c>
      <c r="M7" s="1700"/>
      <c r="N7" s="1696"/>
      <c r="P7" s="2322"/>
      <c r="Q7" s="2322">
        <v>1</v>
      </c>
      <c r="R7" s="422"/>
      <c r="S7" s="2023">
        <f>$J7</f>
      </c>
      <c r="T7" s="351" t="s">
        <v>426</v>
      </c>
      <c r="U7" s="365"/>
      <c r="V7" s="2310"/>
      <c r="W7" s="2311"/>
      <c r="X7" s="2311"/>
      <c r="Y7" s="2311"/>
      <c r="Z7" s="2311"/>
      <c r="AA7" s="2311"/>
      <c r="AB7" s="2311"/>
      <c r="AC7" s="2312"/>
      <c r="AD7" s="2310"/>
      <c r="AE7" s="2311"/>
      <c r="AF7" s="2311"/>
      <c r="AG7" s="2311"/>
      <c r="AH7" s="2311"/>
      <c r="AI7" s="2311"/>
      <c r="AJ7" s="2311"/>
      <c r="AK7" s="2311"/>
      <c r="AL7" s="2312"/>
      <c r="AM7" s="1323" t="s">
        <v>427</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428</v>
      </c>
      <c r="M8" s="1700"/>
      <c r="N8" s="1696"/>
      <c r="O8" s="1696"/>
      <c r="P8" s="2322"/>
      <c r="Q8" s="2322"/>
      <c r="R8" s="422">
        <v>1</v>
      </c>
      <c r="S8" s="2023">
        <f>$K8</f>
      </c>
      <c r="T8" s="1412"/>
      <c r="U8" s="365"/>
      <c r="V8" s="816"/>
      <c r="W8" s="390"/>
      <c r="X8" s="816"/>
      <c r="Y8" s="1322"/>
      <c r="Z8" s="2330"/>
      <c r="AA8" s="2172" t="s">
        <v>64</v>
      </c>
      <c r="AB8" s="2330"/>
      <c r="AC8" s="2172" t="s">
        <v>64</v>
      </c>
      <c r="AD8" s="816"/>
      <c r="AE8" s="390"/>
      <c r="AF8" s="816"/>
      <c r="AG8" s="1322"/>
      <c r="AH8" s="2330"/>
      <c r="AI8" s="2172" t="s">
        <v>64</v>
      </c>
      <c r="AJ8" s="2330"/>
      <c r="AK8" s="2172" t="s">
        <v>64</v>
      </c>
      <c r="AL8" s="390"/>
      <c r="AM8" s="2318" t="s">
        <v>429</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430</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431</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432</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423"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165</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423"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166</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423"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167</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64</v>
      </c>
      <c r="AJ17" s="2332"/>
      <c r="AK17" s="2333" t="s">
        <v>64</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903" customFormat="1" customHeight="1" ht="14.25" hidden="1">
      <c r="A20" s="1696"/>
      <c r="B20" s="1696"/>
      <c r="C20" s="1696"/>
      <c r="D20" s="1696"/>
      <c r="E20" s="1696"/>
      <c r="F20" s="1696"/>
      <c r="G20" s="1696"/>
      <c r="H20" s="1696"/>
      <c r="I20" s="1696"/>
      <c r="J20" s="1696"/>
      <c r="K20" s="1696"/>
      <c r="L20" s="2004"/>
      <c r="M20" s="2030"/>
      <c r="N20" s="2030"/>
      <c r="O20" s="1410" t="s">
        <v>433</v>
      </c>
      <c r="P20" s="1427"/>
      <c r="Q20" s="1436"/>
      <c r="R20" s="1436"/>
      <c r="S20" s="794"/>
      <c r="Z20" s="1432"/>
      <c r="AB20" s="1432"/>
      <c r="AH20" s="1432"/>
      <c r="AJ20" s="1432"/>
      <c r="AN20" s="1701"/>
      <c r="AO20" s="1701"/>
      <c r="AP20" s="1701"/>
      <c r="AQ20" s="1701"/>
      <c r="AR20" s="1701"/>
      <c r="AS20" s="1431">
        <v>0</v>
      </c>
    </row>
    <row s="4903"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903" customFormat="1" customHeight="1" ht="14.25" hidden="1">
      <c r="A22" s="1696"/>
      <c r="B22" s="1696"/>
      <c r="C22" s="1696"/>
      <c r="D22" s="1696"/>
      <c r="E22" s="1696"/>
      <c r="F22" s="1696"/>
      <c r="G22" s="1696"/>
      <c r="H22" s="1696"/>
      <c r="I22" s="1696"/>
      <c r="J22" s="1696"/>
      <c r="K22" s="1696"/>
      <c r="L22" s="2004"/>
      <c r="M22" s="2030"/>
      <c r="N22" s="2030"/>
      <c r="O22" s="1375" t="s">
        <v>434</v>
      </c>
      <c r="P22" s="1427"/>
      <c r="Q22" s="1436"/>
      <c r="R22" s="1436"/>
      <c r="S22" s="794"/>
      <c r="T22" s="1431" t="s">
        <v>435</v>
      </c>
      <c r="AA22" s="660" t="s">
        <v>436</v>
      </c>
      <c r="AC22" s="660" t="s">
        <v>437</v>
      </c>
      <c r="AD22" s="1431" t="s">
        <v>435</v>
      </c>
      <c r="AI22" s="660" t="s">
        <v>438</v>
      </c>
      <c r="AK22" s="660" t="s">
        <v>437</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485"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485" customFormat="1" customHeight="1" ht="18.75" hidden="1">
      <c r="A30" s="1313"/>
      <c r="B30" s="1313"/>
      <c r="C30" s="1313"/>
      <c r="D30" s="1313"/>
      <c r="E30" s="1313"/>
      <c r="F30" s="1313"/>
      <c r="G30" s="1313"/>
      <c r="H30" s="1313"/>
      <c r="I30" s="1313"/>
      <c r="J30" s="1313"/>
      <c r="K30" s="1313"/>
      <c r="L30" s="1445"/>
      <c r="M30" s="1313"/>
      <c r="N30" s="1313"/>
      <c r="O30" s="1313"/>
      <c r="S30" s="2315" t="s">
        <v>439</v>
      </c>
      <c r="T30" s="2315"/>
      <c r="U30" s="1437"/>
      <c r="V30" s="2329" t="str">
        <f>IF(TITLE_DATE_PR_CHANGE="",IF(TITLE_DATE_PR="","",TITLE_DATE_PR),TITLE_DATE_PR_CHANGE)</f>
        <v>45643.434652777774</v>
      </c>
      <c r="W30" s="2329"/>
      <c r="X30" s="2329"/>
      <c r="Y30" s="2329"/>
      <c r="Z30" s="2329"/>
      <c r="AA30" s="2329"/>
      <c r="AB30" s="2329"/>
      <c r="AC30" s="1700"/>
      <c r="AD30" s="2329" t="str">
        <f>IF(TITLE_DATE_PR_CHANGE="",IF(TITLE_DATE_PR="","",TITLE_DATE_PR),TITLE_DATE_PR_CHANGE)</f>
        <v>45643.434652777774</v>
      </c>
      <c r="AE30" s="2329"/>
      <c r="AF30" s="2329"/>
      <c r="AG30" s="2329"/>
      <c r="AH30" s="2329"/>
      <c r="AI30" s="2329"/>
      <c r="AJ30" s="2329"/>
      <c r="AK30" s="1700"/>
      <c r="AL30" s="1700"/>
      <c r="AM30" s="345"/>
      <c r="AN30" s="433"/>
      <c r="AO30" s="433"/>
      <c r="AP30" s="433"/>
      <c r="AQ30" s="433"/>
      <c r="AR30" s="433"/>
      <c r="AS30" s="483">
        <v>0</v>
      </c>
    </row>
    <row s="5485" customFormat="1" customHeight="1" ht="18.75" hidden="1">
      <c r="A31" s="1313"/>
      <c r="B31" s="1313"/>
      <c r="C31" s="1313"/>
      <c r="D31" s="1313"/>
      <c r="E31" s="1313"/>
      <c r="F31" s="1313"/>
      <c r="G31" s="1313"/>
      <c r="H31" s="1313"/>
      <c r="I31" s="1313"/>
      <c r="J31" s="1313"/>
      <c r="K31" s="1313"/>
      <c r="L31" s="1445"/>
      <c r="M31" s="1313"/>
      <c r="N31" s="1313"/>
      <c r="O31" s="1313"/>
      <c r="S31" s="2315" t="s">
        <v>440</v>
      </c>
      <c r="T31" s="2315"/>
      <c r="U31" s="1437"/>
      <c r="V31" s="2316" t="str">
        <f>IF(TITLE_NUMBER_PR_CHANGE="",IF(TITLE_NUMBER_PR="","",TITLE_NUMBER_PR),TITLE_NUMBER_PR_CHANGE)</f>
        <v>71/2</v>
      </c>
      <c r="W31" s="2316"/>
      <c r="X31" s="2316"/>
      <c r="Y31" s="2316"/>
      <c r="Z31" s="2316"/>
      <c r="AA31" s="2316"/>
      <c r="AB31" s="2316"/>
      <c r="AC31" s="1700"/>
      <c r="AD31" s="2316" t="str">
        <f>IF(TITLE_NUMBER_PR_CHANGE="",IF(TITLE_NUMBER_PR="","",TITLE_NUMBER_PR),TITLE_NUMBER_PR_CHANGE)</f>
        <v>71/2</v>
      </c>
      <c r="AE31" s="2316"/>
      <c r="AF31" s="2316"/>
      <c r="AG31" s="2316"/>
      <c r="AH31" s="2316"/>
      <c r="AI31" s="2316"/>
      <c r="AJ31" s="2316"/>
      <c r="AK31" s="1700"/>
      <c r="AL31" s="1700"/>
      <c r="AM31" s="345"/>
      <c r="AN31" s="433"/>
      <c r="AO31" s="433"/>
      <c r="AP31" s="433"/>
      <c r="AQ31" s="433"/>
      <c r="AR31" s="433"/>
      <c r="AS31" s="483">
        <v>0</v>
      </c>
    </row>
    <row s="5485"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Официальный интернет-портал правовой информации Ставропольского края</v>
      </c>
      <c r="W32" s="2316"/>
      <c r="X32" s="2316"/>
      <c r="Y32" s="2316"/>
      <c r="Z32" s="2316"/>
      <c r="AA32" s="2316"/>
      <c r="AB32" s="2316"/>
      <c r="AC32" s="1700"/>
      <c r="AD32" s="2316" t="str">
        <f>IF(TITLE_IST_PUB_CHANGE="",IF(TITLE_IST_PUB="","",TITLE_IST_PUB),TITLE_IST_PUB_CHANGE)</f>
        <v>Официальный интернет-портал правовой информации Ставропольского края</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485" customFormat="1" customHeight="1" ht="18.75" hidden="1">
      <c r="A34" s="1313"/>
      <c r="B34" s="1313"/>
      <c r="C34" s="1313"/>
      <c r="D34" s="1313"/>
      <c r="E34" s="1313"/>
      <c r="F34" s="1313"/>
      <c r="G34" s="1313"/>
      <c r="H34" s="1313"/>
      <c r="I34" s="1313"/>
      <c r="J34" s="1313"/>
      <c r="K34" s="1313"/>
      <c r="L34" s="1445"/>
      <c r="M34" s="1313"/>
      <c r="N34" s="1313"/>
      <c r="O34" s="1313"/>
      <c r="S34" s="2315" t="s">
        <v>441</v>
      </c>
      <c r="T34" s="2315"/>
      <c r="U34" s="1437"/>
      <c r="V34" s="2329" t="str">
        <f>IF(TITLE_DATE_PR_CHANGE="",IF(TITLE_DATE_PR="","",TITLE_DATE_PR),TITLE_DATE_PR_CHANGE)</f>
        <v>45643.434652777774</v>
      </c>
      <c r="W34" s="2329"/>
      <c r="X34" s="2329"/>
      <c r="Y34" s="2329"/>
      <c r="Z34" s="2329"/>
      <c r="AA34" s="2329"/>
      <c r="AB34" s="2329"/>
      <c r="AC34" s="1700"/>
      <c r="AD34" s="2329" t="str">
        <f>IF(TITLE_DATE_PR_CHANGE="",IF(TITLE_DATE_PR="","",TITLE_DATE_PR),TITLE_DATE_PR_CHANGE)</f>
        <v>45643.434652777774</v>
      </c>
      <c r="AE34" s="2329"/>
      <c r="AF34" s="2329"/>
      <c r="AG34" s="2329"/>
      <c r="AH34" s="2329"/>
      <c r="AI34" s="2329"/>
      <c r="AJ34" s="2329"/>
      <c r="AK34" s="1700"/>
      <c r="AL34" s="1700"/>
      <c r="AM34" s="345"/>
      <c r="AN34" s="433"/>
      <c r="AO34" s="433"/>
      <c r="AP34" s="433"/>
      <c r="AQ34" s="433"/>
      <c r="AR34" s="433"/>
      <c r="AS34" s="483">
        <v>0</v>
      </c>
    </row>
    <row s="5485" customFormat="1" customHeight="1" ht="18.75" hidden="1">
      <c r="A35" s="1313"/>
      <c r="B35" s="1313"/>
      <c r="C35" s="1313"/>
      <c r="D35" s="1313"/>
      <c r="E35" s="1313"/>
      <c r="F35" s="1313"/>
      <c r="G35" s="1313"/>
      <c r="H35" s="1313"/>
      <c r="I35" s="1313"/>
      <c r="J35" s="1313"/>
      <c r="K35" s="1313"/>
      <c r="L35" s="1445"/>
      <c r="M35" s="1313"/>
      <c r="N35" s="1313"/>
      <c r="O35" s="1313"/>
      <c r="S35" s="2315" t="s">
        <v>442</v>
      </c>
      <c r="T35" s="2315"/>
      <c r="U35" s="1437"/>
      <c r="V35" s="2316" t="str">
        <f>IF(TITLE_NUMBER_PR_CHANGE="",IF(TITLE_NUMBER_PR="","",TITLE_NUMBER_PR),TITLE_NUMBER_PR_CHANGE)</f>
        <v>71/2</v>
      </c>
      <c r="W35" s="2316"/>
      <c r="X35" s="2316"/>
      <c r="Y35" s="2316"/>
      <c r="Z35" s="2316"/>
      <c r="AA35" s="2316"/>
      <c r="AB35" s="2316"/>
      <c r="AC35" s="1700"/>
      <c r="AD35" s="2316" t="str">
        <f>IF(TITLE_NUMBER_PR_CHANGE="",IF(TITLE_NUMBER_PR="","",TITLE_NUMBER_PR),TITLE_NUMBER_PR_CHANGE)</f>
        <v>71/2</v>
      </c>
      <c r="AE35" s="2316"/>
      <c r="AF35" s="2316"/>
      <c r="AG35" s="2316"/>
      <c r="AH35" s="2316"/>
      <c r="AI35" s="2316"/>
      <c r="AJ35" s="2316"/>
      <c r="AK35" s="1700"/>
      <c r="AL35" s="1700"/>
      <c r="AM35" s="345"/>
      <c r="AN35" s="433"/>
      <c r="AO35" s="433"/>
      <c r="AP35" s="433"/>
      <c r="AQ35" s="433"/>
      <c r="AR35" s="433"/>
      <c r="AS35" s="483">
        <v>0</v>
      </c>
    </row>
    <row s="5485"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443</v>
      </c>
      <c r="AD36" s="1700"/>
      <c r="AE36" s="1700"/>
      <c r="AF36" s="1700"/>
      <c r="AG36" s="1700"/>
      <c r="AH36" s="1700"/>
      <c r="AI36" s="1700"/>
      <c r="AJ36" s="1700"/>
      <c r="AK36" s="1707" t="s">
        <v>443</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320</v>
      </c>
      <c r="AS38" s="1696">
        <v>14</v>
      </c>
    </row>
    <row customHeight="1" ht="14.699999999999998">
      <c r="Q39" s="441"/>
      <c r="R39" s="441"/>
      <c r="S39" s="2338" t="s">
        <v>91</v>
      </c>
      <c r="T39" s="2274" t="s">
        <v>444</v>
      </c>
      <c r="U39" s="402"/>
      <c r="V39" s="2339" t="s">
        <v>445</v>
      </c>
      <c r="W39" s="2340"/>
      <c r="X39" s="2340"/>
      <c r="Y39" s="2340"/>
      <c r="Z39" s="2340"/>
      <c r="AA39" s="2340"/>
      <c r="AB39" s="2341"/>
      <c r="AC39" s="2342" t="s">
        <v>446</v>
      </c>
      <c r="AD39" s="2339" t="s">
        <v>445</v>
      </c>
      <c r="AE39" s="2340"/>
      <c r="AF39" s="2340"/>
      <c r="AG39" s="2340"/>
      <c r="AH39" s="2340"/>
      <c r="AI39" s="2340"/>
      <c r="AJ39" s="2341"/>
      <c r="AK39" s="2342" t="s">
        <v>447</v>
      </c>
      <c r="AL39" s="2345" t="s">
        <v>448</v>
      </c>
      <c r="AM39" s="2192"/>
      <c r="AS39" s="1696">
        <v>14</v>
      </c>
    </row>
    <row customHeight="1" ht="35.699999999999996">
      <c r="Q40" s="441"/>
      <c r="R40" s="441"/>
      <c r="S40" s="2338"/>
      <c r="T40" s="2274"/>
      <c r="U40" s="1096"/>
      <c r="V40" s="2325" t="s">
        <v>449</v>
      </c>
      <c r="W40" s="2348" t="s">
        <v>450</v>
      </c>
      <c r="X40" s="2327" t="s">
        <v>451</v>
      </c>
      <c r="Y40" s="2328"/>
      <c r="Z40" s="2327" t="s">
        <v>467</v>
      </c>
      <c r="AA40" s="2334"/>
      <c r="AB40" s="2328"/>
      <c r="AC40" s="2343"/>
      <c r="AD40" s="2325" t="s">
        <v>449</v>
      </c>
      <c r="AE40" s="2348" t="s">
        <v>450</v>
      </c>
      <c r="AF40" s="2327" t="s">
        <v>451</v>
      </c>
      <c r="AG40" s="2328"/>
      <c r="AH40" s="2327" t="s">
        <v>452</v>
      </c>
      <c r="AI40" s="2334"/>
      <c r="AJ40" s="2328"/>
      <c r="AK40" s="2343"/>
      <c r="AL40" s="2346"/>
      <c r="AM40" s="2192"/>
      <c r="AS40" s="1696">
        <v>34</v>
      </c>
    </row>
    <row customHeight="1" ht="35.699999999999996">
      <c r="A41" s="1331"/>
      <c r="B41" s="1331" t="s">
        <v>138</v>
      </c>
      <c r="C41" s="1331" t="s">
        <v>139</v>
      </c>
      <c r="D41" s="1331" t="s">
        <v>140</v>
      </c>
      <c r="E41" s="1375" t="s">
        <v>453</v>
      </c>
      <c r="F41" s="1375" t="s">
        <v>454</v>
      </c>
      <c r="G41" s="1375" t="s">
        <v>455</v>
      </c>
      <c r="H41" s="1375" t="s">
        <v>456</v>
      </c>
      <c r="I41" s="1375" t="s">
        <v>457</v>
      </c>
      <c r="J41" s="1375" t="s">
        <v>458</v>
      </c>
      <c r="K41" s="1375" t="s">
        <v>459</v>
      </c>
      <c r="L41" s="1375" t="s">
        <v>434</v>
      </c>
      <c r="Q41" s="441"/>
      <c r="R41" s="441"/>
      <c r="S41" s="2338"/>
      <c r="T41" s="2274"/>
      <c r="U41" s="367"/>
      <c r="V41" s="2326"/>
      <c r="W41" s="2349"/>
      <c r="X41" s="2003" t="s">
        <v>460</v>
      </c>
      <c r="Y41" s="2003" t="s">
        <v>461</v>
      </c>
      <c r="Z41" s="2003" t="s">
        <v>462</v>
      </c>
      <c r="AA41" s="2335" t="s">
        <v>463</v>
      </c>
      <c r="AB41" s="2336"/>
      <c r="AC41" s="2344"/>
      <c r="AD41" s="2326"/>
      <c r="AE41" s="2349"/>
      <c r="AF41" s="2003" t="s">
        <v>460</v>
      </c>
      <c r="AG41" s="2003" t="s">
        <v>461</v>
      </c>
      <c r="AH41" s="2003" t="s">
        <v>462</v>
      </c>
      <c r="AI41" s="2335" t="s">
        <v>463</v>
      </c>
      <c r="AJ41" s="2336"/>
      <c r="AK41" s="2344"/>
      <c r="AL41" s="2347"/>
      <c r="AM41" s="2192"/>
      <c r="AS41" s="1696">
        <v>34</v>
      </c>
    </row>
    <row s="4094"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112</v>
      </c>
      <c r="T42" s="1320" t="s">
        <v>113</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231</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231</v>
      </c>
      <c r="B44" s="1332" t="s">
        <v>232</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416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417</v>
      </c>
      <c r="AO44" s="1689"/>
      <c r="AP44" s="1689" t="str">
        <f>IF(T44="","",T44)</f>
        <v>Территория действия тарифа</v>
      </c>
      <c r="AQ44" s="1689"/>
      <c r="AR44" s="1689"/>
      <c r="AS44" s="1696">
        <v>21</v>
      </c>
    </row>
    <row customHeight="1" ht="24">
      <c r="A45" s="1332" t="s">
        <v>231</v>
      </c>
      <c r="B45" s="1332" t="s">
        <v>232</v>
      </c>
      <c r="C45" s="1332" t="s">
        <v>233</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418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419</v>
      </c>
      <c r="AO45" s="1689"/>
      <c r="AP45" s="1689" t="str">
        <f>IF(T45="","",T45)</f>
        <v>Наименование системы теплоснабжения </v>
      </c>
      <c r="AQ45" s="1689"/>
      <c r="AR45" s="1689"/>
      <c r="AS45" s="1696">
        <v>23</v>
      </c>
    </row>
    <row customHeight="1" ht="22.049999999999997">
      <c r="A46" s="1332" t="s">
        <v>231</v>
      </c>
      <c r="B46" s="1332" t="s">
        <v>232</v>
      </c>
      <c r="C46" s="1332" t="s">
        <v>233</v>
      </c>
      <c r="D46" s="1332" t="s">
        <v>234</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420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421</v>
      </c>
      <c r="AO46" s="1689"/>
      <c r="AP46" s="1689" t="str">
        <f>IF(T46="","",T46)</f>
        <v>Источник тепловой энергии  </v>
      </c>
      <c r="AQ46" s="1689"/>
      <c r="AR46" s="1689"/>
      <c r="AS46" s="1696">
        <v>21</v>
      </c>
    </row>
    <row customHeight="1" ht="49.5">
      <c r="A47" s="1332" t="s">
        <v>231</v>
      </c>
      <c r="B47" s="1332" t="s">
        <v>232</v>
      </c>
      <c r="C47" s="1332" t="s">
        <v>233</v>
      </c>
      <c r="D47" s="1332" t="s">
        <v>234</v>
      </c>
      <c r="E47" s="2355"/>
      <c r="F47" s="2355"/>
      <c r="G47" s="2355"/>
      <c r="H47" s="2355"/>
      <c r="I47" s="2192" t="str">
        <f>S46&amp;".1"</f>
        <v>....1</v>
      </c>
      <c r="J47" s="1332"/>
      <c r="K47" s="1332"/>
      <c r="L47" s="1375" t="s">
        <v>422</v>
      </c>
      <c r="P47" s="2322">
        <v>1</v>
      </c>
      <c r="Q47" s="2019"/>
      <c r="R47" s="421"/>
      <c r="S47" s="2023" t="str">
        <f>$I47</f>
        <v>....1</v>
      </c>
      <c r="T47" s="350" t="s">
        <v>423</v>
      </c>
      <c r="U47" s="365"/>
      <c r="V47" s="2310"/>
      <c r="W47" s="2311"/>
      <c r="X47" s="2311"/>
      <c r="Y47" s="2311"/>
      <c r="Z47" s="2311"/>
      <c r="AA47" s="2311"/>
      <c r="AB47" s="2311"/>
      <c r="AC47" s="2312"/>
      <c r="AD47" s="2310"/>
      <c r="AE47" s="2311"/>
      <c r="AF47" s="2311"/>
      <c r="AG47" s="2311"/>
      <c r="AH47" s="2311"/>
      <c r="AI47" s="2311"/>
      <c r="AJ47" s="2311"/>
      <c r="AK47" s="2311"/>
      <c r="AL47" s="2312"/>
      <c r="AM47" s="1323" t="s">
        <v>424</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231</v>
      </c>
      <c r="B48" s="1332" t="s">
        <v>232</v>
      </c>
      <c r="C48" s="1332" t="s">
        <v>233</v>
      </c>
      <c r="D48" s="1332" t="s">
        <v>234</v>
      </c>
      <c r="E48" s="2355"/>
      <c r="F48" s="2355"/>
      <c r="G48" s="2355"/>
      <c r="H48" s="2355"/>
      <c r="I48" s="2166"/>
      <c r="J48" s="2192" t="str">
        <f>I47&amp;".1"</f>
        <v>....1.1</v>
      </c>
      <c r="K48" s="1332"/>
      <c r="L48" s="1375" t="s">
        <v>425</v>
      </c>
      <c r="P48" s="2322"/>
      <c r="Q48" s="2322">
        <v>1</v>
      </c>
      <c r="R48" s="422"/>
      <c r="S48" s="2023" t="str">
        <f>$J48</f>
        <v>....1.1</v>
      </c>
      <c r="T48" s="351" t="s">
        <v>426</v>
      </c>
      <c r="U48" s="365"/>
      <c r="V48" s="2310"/>
      <c r="W48" s="2311"/>
      <c r="X48" s="2311"/>
      <c r="Y48" s="2311"/>
      <c r="Z48" s="2311"/>
      <c r="AA48" s="2311"/>
      <c r="AB48" s="2311"/>
      <c r="AC48" s="2312"/>
      <c r="AD48" s="2310"/>
      <c r="AE48" s="2311"/>
      <c r="AF48" s="2311"/>
      <c r="AG48" s="2311"/>
      <c r="AH48" s="2311"/>
      <c r="AI48" s="2311"/>
      <c r="AJ48" s="2311"/>
      <c r="AK48" s="2311"/>
      <c r="AL48" s="2312"/>
      <c r="AM48" s="1323" t="s">
        <v>427</v>
      </c>
      <c r="AO48" s="1689"/>
      <c r="AP48" s="1689" t="str">
        <f>IF(T48="","",T48)</f>
        <v>Группа потребителей</v>
      </c>
      <c r="AQ48" s="1689"/>
      <c r="AR48" s="1689"/>
      <c r="AS48" s="1696">
        <v>21</v>
      </c>
    </row>
    <row customHeight="1" ht="22.049999999999997">
      <c r="A49" s="1332" t="s">
        <v>231</v>
      </c>
      <c r="B49" s="1332" t="s">
        <v>232</v>
      </c>
      <c r="C49" s="1332" t="s">
        <v>233</v>
      </c>
      <c r="D49" s="1332" t="s">
        <v>234</v>
      </c>
      <c r="E49" s="2355"/>
      <c r="F49" s="2355"/>
      <c r="G49" s="2355"/>
      <c r="H49" s="2355"/>
      <c r="I49" s="2166"/>
      <c r="J49" s="2166"/>
      <c r="K49" s="2192" t="str">
        <f>J48&amp;".1"</f>
        <v>....1.1.1</v>
      </c>
      <c r="L49" s="1375" t="s">
        <v>428</v>
      </c>
      <c r="P49" s="2322"/>
      <c r="Q49" s="2322"/>
      <c r="R49" s="422">
        <v>1</v>
      </c>
      <c r="S49" s="2023" t="str">
        <f>$K49</f>
        <v>....1.1.1</v>
      </c>
      <c r="T49" s="1412"/>
      <c r="U49" s="365"/>
      <c r="V49" s="816"/>
      <c r="W49" s="390"/>
      <c r="X49" s="816"/>
      <c r="Y49" s="1322"/>
      <c r="Z49" s="2330"/>
      <c r="AA49" s="2172" t="s">
        <v>64</v>
      </c>
      <c r="AB49" s="2330"/>
      <c r="AC49" s="2172" t="s">
        <v>64</v>
      </c>
      <c r="AD49" s="816"/>
      <c r="AE49" s="390"/>
      <c r="AF49" s="816"/>
      <c r="AG49" s="1322"/>
      <c r="AH49" s="2330"/>
      <c r="AI49" s="2172" t="s">
        <v>64</v>
      </c>
      <c r="AJ49" s="2352"/>
      <c r="AK49" s="2172" t="s">
        <v>64</v>
      </c>
      <c r="AL49" s="1413"/>
      <c r="AM49" s="2318" t="s">
        <v>429</v>
      </c>
      <c r="AN49" s="1701">
        <f>STRCHECKDATE(V50:AL50)</f>
      </c>
      <c r="AO49" s="1689"/>
      <c r="AP49" s="1689" t="str">
        <f>IF(T49="","",T49)</f>
        <v/>
      </c>
      <c r="AQ49" s="1689"/>
      <c r="AR49" s="1689"/>
      <c r="AS49" s="1696">
        <v>21</v>
      </c>
    </row>
    <row customHeight="1" ht="1.05">
      <c r="A50" s="1332" t="s">
        <v>231</v>
      </c>
      <c r="B50" s="1332" t="s">
        <v>232</v>
      </c>
      <c r="C50" s="1332" t="s">
        <v>233</v>
      </c>
      <c r="D50" s="1332" t="s">
        <v>234</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231</v>
      </c>
      <c r="B51" s="1332" t="s">
        <v>232</v>
      </c>
      <c r="C51" s="1332" t="s">
        <v>233</v>
      </c>
      <c r="D51" s="1332" t="s">
        <v>234</v>
      </c>
      <c r="E51" s="2355"/>
      <c r="F51" s="2355"/>
      <c r="G51" s="2355"/>
      <c r="H51" s="2355"/>
      <c r="I51" s="2166"/>
      <c r="J51" s="2192"/>
      <c r="K51" s="1332"/>
      <c r="L51" s="1375"/>
      <c r="P51" s="2322"/>
      <c r="Q51" s="2322"/>
      <c r="R51" s="421"/>
      <c r="S51" s="1343"/>
      <c r="T51" s="353" t="s">
        <v>430</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231</v>
      </c>
      <c r="B52" s="1332" t="s">
        <v>232</v>
      </c>
      <c r="C52" s="1332" t="s">
        <v>233</v>
      </c>
      <c r="D52" s="1332" t="s">
        <v>234</v>
      </c>
      <c r="E52" s="2355"/>
      <c r="F52" s="2355"/>
      <c r="G52" s="2355"/>
      <c r="H52" s="2355"/>
      <c r="I52" s="2192"/>
      <c r="J52" s="1332"/>
      <c r="K52" s="1332"/>
      <c r="L52" s="1375"/>
      <c r="P52" s="2322"/>
      <c r="Q52" s="2019"/>
      <c r="R52" s="421"/>
      <c r="S52" s="1343"/>
      <c r="T52" s="352" t="s">
        <v>431</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231</v>
      </c>
      <c r="B53" s="1332" t="s">
        <v>232</v>
      </c>
      <c r="C53" s="1332" t="s">
        <v>233</v>
      </c>
      <c r="D53" s="1332" t="s">
        <v>234</v>
      </c>
      <c r="E53" s="2355"/>
      <c r="F53" s="2355"/>
      <c r="G53" s="2355"/>
      <c r="H53" s="2354"/>
      <c r="I53" s="1332"/>
      <c r="J53" s="1332"/>
      <c r="K53" s="1332"/>
      <c r="L53" s="1375"/>
      <c r="M53" s="1675"/>
      <c r="N53" s="1675"/>
      <c r="O53" s="1700"/>
      <c r="P53" s="425"/>
      <c r="Q53" s="440"/>
      <c r="R53" s="420"/>
      <c r="S53" s="1343"/>
      <c r="T53" s="430" t="s">
        <v>432</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423" customFormat="1" customHeight="1" ht="4.2">
      <c r="A54" s="1440" t="s">
        <v>231</v>
      </c>
      <c r="B54" s="1440" t="s">
        <v>232</v>
      </c>
      <c r="C54" s="1440" t="s">
        <v>233</v>
      </c>
      <c r="D54" s="1439"/>
      <c r="E54" s="2355"/>
      <c r="F54" s="2355"/>
      <c r="G54" s="2354"/>
      <c r="H54" s="1439"/>
      <c r="I54" s="1439"/>
      <c r="J54" s="1439"/>
      <c r="K54" s="1439"/>
      <c r="L54" s="1442"/>
      <c r="M54" s="1443"/>
      <c r="N54" s="1443"/>
      <c r="O54" s="416"/>
      <c r="P54" s="1381"/>
      <c r="Q54" s="1382"/>
      <c r="R54" s="1381"/>
      <c r="S54" s="1387"/>
      <c r="T54" s="1390" t="s">
        <v>165</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423" customFormat="1" customHeight="1" ht="4.2">
      <c r="A55" s="1440" t="s">
        <v>231</v>
      </c>
      <c r="B55" s="1440" t="s">
        <v>232</v>
      </c>
      <c r="C55" s="1439"/>
      <c r="D55" s="1439"/>
      <c r="E55" s="2355"/>
      <c r="F55" s="2354"/>
      <c r="G55" s="1439"/>
      <c r="H55" s="1439"/>
      <c r="I55" s="1439"/>
      <c r="J55" s="1439"/>
      <c r="K55" s="1439"/>
      <c r="L55" s="1442"/>
      <c r="M55" s="1444"/>
      <c r="N55" s="1444"/>
      <c r="O55" s="416"/>
      <c r="P55" s="1381"/>
      <c r="Q55" s="1382"/>
      <c r="R55" s="1381"/>
      <c r="S55" s="1387"/>
      <c r="T55" s="1390" t="s">
        <v>166</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423" customFormat="1" customHeight="1" ht="4.2">
      <c r="A56" s="1440" t="s">
        <v>231</v>
      </c>
      <c r="B56" s="1440"/>
      <c r="C56" s="1440"/>
      <c r="D56" s="1440"/>
      <c r="E56" s="2354"/>
      <c r="F56" s="1440"/>
      <c r="G56" s="1440"/>
      <c r="H56" s="1440"/>
      <c r="I56" s="1440"/>
      <c r="J56" s="1440"/>
      <c r="K56" s="1440"/>
      <c r="L56" s="1446"/>
      <c r="M56" s="1444"/>
      <c r="N56" s="1444"/>
      <c r="O56" s="416"/>
      <c r="P56" s="445"/>
      <c r="Q56" s="1409"/>
      <c r="R56" s="445"/>
      <c r="S56" s="1387"/>
      <c r="T56" s="1390" t="s">
        <v>167</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423"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168</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85</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3AA24-DF1A-F9E8-7BF5-B3C1000C07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21" width="10.57421875" hidden="1"/>
    <col min="2" max="2" style="4921" width="11.00390625" hidden="1" customWidth="1"/>
    <col min="3" max="3" style="4921" width="10.57421875" hidden="1"/>
    <col min="4" max="4" style="4921" width="11.8515625" hidden="1" customWidth="1"/>
    <col min="5" max="5" style="4921" width="10.00390625" hidden="1" customWidth="1"/>
    <col min="6" max="6" style="4921" width="8.7109375" hidden="1" customWidth="1"/>
    <col min="7" max="7" style="4921" width="7.57421875" hidden="1" customWidth="1"/>
    <col min="8" max="8" style="4921" width="11.421875" hidden="1" customWidth="1"/>
    <col min="9" max="9" style="4921" width="12.00390625" hidden="1" customWidth="1"/>
    <col min="10" max="10" style="4921" width="9.8515625" hidden="1" customWidth="1"/>
    <col min="11" max="11" style="4921" width="11.421875" hidden="1" customWidth="1"/>
    <col min="12" max="12" style="5606" width="19.140625" hidden="1" customWidth="1"/>
    <col min="13" max="14" style="5625" width="12.28125" hidden="1" customWidth="1"/>
    <col min="15" max="15" style="5625" width="23.421875" hidden="1" customWidth="1"/>
    <col min="16" max="16" style="5625" width="3.00390625" customWidth="1"/>
    <col min="17" max="18" style="4943" width="3.00390625" customWidth="1"/>
    <col min="19" max="19" style="5599" width="12.00390625" customWidth="1"/>
    <col min="20" max="20" style="4921" width="31.00390625" customWidth="1"/>
    <col min="21" max="21" style="4921" width="0.140625" customWidth="1"/>
    <col min="22" max="22" style="4921" width="24.7109375" hidden="1" customWidth="1"/>
    <col min="23" max="23" style="4921" width="0.140625" hidden="1" customWidth="1"/>
    <col min="24" max="25" style="4921" width="24.710937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24.7109375" customWidth="1"/>
    <col min="31" max="31" style="4921" width="0.140625" customWidth="1"/>
    <col min="32" max="33" style="4921" width="24.00390625" customWidth="1"/>
    <col min="34" max="34" style="4921" width="11.00390625" customWidth="1"/>
    <col min="35" max="35" style="4921" width="3.7109375" customWidth="1"/>
    <col min="36" max="36" style="4921" width="11.00390625" customWidth="1"/>
    <col min="37" max="37" style="4921" width="8.57421875" hidden="1" customWidth="1"/>
    <col min="38" max="38" style="4921" width="4.00390625" customWidth="1"/>
    <col min="39" max="39" style="4921" width="115.00390625" customWidth="1"/>
    <col min="40" max="44" style="4423" width="10.00390625" customWidth="1"/>
    <col min="45" max="45" style="4921"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415</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416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417</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418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419</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420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421</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422</v>
      </c>
      <c r="M6" s="1700"/>
      <c r="P6" s="2322">
        <v>1</v>
      </c>
      <c r="Q6" s="2019"/>
      <c r="R6" s="421"/>
      <c r="S6" s="2023">
        <f>$I6</f>
      </c>
      <c r="T6" s="350" t="s">
        <v>423</v>
      </c>
      <c r="U6" s="365"/>
      <c r="V6" s="2310"/>
      <c r="W6" s="2311"/>
      <c r="X6" s="2311"/>
      <c r="Y6" s="2311"/>
      <c r="Z6" s="2311"/>
      <c r="AA6" s="2311"/>
      <c r="AB6" s="2311"/>
      <c r="AC6" s="2312"/>
      <c r="AD6" s="2310"/>
      <c r="AE6" s="2311"/>
      <c r="AF6" s="2311"/>
      <c r="AG6" s="2311"/>
      <c r="AH6" s="2311"/>
      <c r="AI6" s="2311"/>
      <c r="AJ6" s="2311"/>
      <c r="AK6" s="2311"/>
      <c r="AL6" s="2312"/>
      <c r="AM6" s="1323" t="s">
        <v>424</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425</v>
      </c>
      <c r="M7" s="1700"/>
      <c r="N7" s="1696"/>
      <c r="P7" s="2322"/>
      <c r="Q7" s="2322">
        <v>1</v>
      </c>
      <c r="R7" s="422"/>
      <c r="S7" s="2023">
        <f>$J7</f>
      </c>
      <c r="T7" s="351" t="s">
        <v>426</v>
      </c>
      <c r="U7" s="365"/>
      <c r="V7" s="2310"/>
      <c r="W7" s="2311"/>
      <c r="X7" s="2311"/>
      <c r="Y7" s="2311"/>
      <c r="Z7" s="2311"/>
      <c r="AA7" s="2311"/>
      <c r="AB7" s="2311"/>
      <c r="AC7" s="2312"/>
      <c r="AD7" s="2310"/>
      <c r="AE7" s="2311"/>
      <c r="AF7" s="2311"/>
      <c r="AG7" s="2311"/>
      <c r="AH7" s="2311"/>
      <c r="AI7" s="2311"/>
      <c r="AJ7" s="2311"/>
      <c r="AK7" s="2311"/>
      <c r="AL7" s="2312"/>
      <c r="AM7" s="1323" t="s">
        <v>427</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428</v>
      </c>
      <c r="M8" s="1700"/>
      <c r="N8" s="1696"/>
      <c r="O8" s="1696"/>
      <c r="P8" s="2322"/>
      <c r="Q8" s="2322"/>
      <c r="R8" s="422">
        <v>1</v>
      </c>
      <c r="S8" s="2023">
        <f>$K8</f>
      </c>
      <c r="T8" s="1412"/>
      <c r="U8" s="365"/>
      <c r="V8" s="816"/>
      <c r="W8" s="390"/>
      <c r="X8" s="816"/>
      <c r="Y8" s="1322"/>
      <c r="Z8" s="2330"/>
      <c r="AA8" s="2172" t="s">
        <v>64</v>
      </c>
      <c r="AB8" s="2330"/>
      <c r="AC8" s="2172" t="s">
        <v>64</v>
      </c>
      <c r="AD8" s="816"/>
      <c r="AE8" s="390"/>
      <c r="AF8" s="816"/>
      <c r="AG8" s="1322"/>
      <c r="AH8" s="2330"/>
      <c r="AI8" s="2172" t="s">
        <v>64</v>
      </c>
      <c r="AJ8" s="2330"/>
      <c r="AK8" s="2172" t="s">
        <v>64</v>
      </c>
      <c r="AL8" s="390"/>
      <c r="AM8" s="2318" t="s">
        <v>429</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430</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431</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432</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423"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165</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423"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166</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423"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167</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64</v>
      </c>
      <c r="AJ17" s="2332"/>
      <c r="AK17" s="2333" t="s">
        <v>64</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903" customFormat="1" customHeight="1" ht="14.25" hidden="1">
      <c r="A20" s="1696"/>
      <c r="B20" s="1696"/>
      <c r="C20" s="1696"/>
      <c r="D20" s="1696"/>
      <c r="E20" s="1696"/>
      <c r="F20" s="1696"/>
      <c r="G20" s="1696"/>
      <c r="H20" s="1696"/>
      <c r="I20" s="1696"/>
      <c r="J20" s="1696"/>
      <c r="K20" s="1696"/>
      <c r="L20" s="2004"/>
      <c r="M20" s="2030"/>
      <c r="N20" s="2030"/>
      <c r="O20" s="1410" t="s">
        <v>433</v>
      </c>
      <c r="P20" s="1427"/>
      <c r="Q20" s="1436"/>
      <c r="R20" s="1436"/>
      <c r="S20" s="794"/>
      <c r="Z20" s="1432"/>
      <c r="AB20" s="1432"/>
      <c r="AH20" s="1432"/>
      <c r="AJ20" s="1432"/>
      <c r="AN20" s="1701"/>
      <c r="AO20" s="1701"/>
      <c r="AP20" s="1701"/>
      <c r="AQ20" s="1701"/>
      <c r="AR20" s="1701"/>
      <c r="AS20" s="1431">
        <v>0</v>
      </c>
    </row>
    <row s="4903"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903" customFormat="1" customHeight="1" ht="14.25" hidden="1">
      <c r="A22" s="1696"/>
      <c r="B22" s="1696"/>
      <c r="C22" s="1696"/>
      <c r="D22" s="1696"/>
      <c r="E22" s="1696"/>
      <c r="F22" s="1696"/>
      <c r="G22" s="1696"/>
      <c r="H22" s="1696"/>
      <c r="I22" s="1696"/>
      <c r="J22" s="1696"/>
      <c r="K22" s="1696"/>
      <c r="L22" s="2004"/>
      <c r="M22" s="2030"/>
      <c r="N22" s="2030"/>
      <c r="O22" s="1375" t="s">
        <v>434</v>
      </c>
      <c r="P22" s="1427"/>
      <c r="Q22" s="1436"/>
      <c r="R22" s="1436"/>
      <c r="S22" s="794"/>
      <c r="T22" s="1431" t="s">
        <v>435</v>
      </c>
      <c r="AA22" s="660" t="s">
        <v>436</v>
      </c>
      <c r="AC22" s="660" t="s">
        <v>437</v>
      </c>
      <c r="AD22" s="1431" t="s">
        <v>435</v>
      </c>
      <c r="AI22" s="660" t="s">
        <v>438</v>
      </c>
      <c r="AK22" s="660" t="s">
        <v>437</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485"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485" customFormat="1" customHeight="1" ht="18.75" hidden="1">
      <c r="A30" s="1313"/>
      <c r="B30" s="1313"/>
      <c r="C30" s="1313"/>
      <c r="D30" s="1313"/>
      <c r="E30" s="1313"/>
      <c r="F30" s="1313"/>
      <c r="G30" s="1313"/>
      <c r="H30" s="1313"/>
      <c r="I30" s="1313"/>
      <c r="J30" s="1313"/>
      <c r="K30" s="1313"/>
      <c r="L30" s="1445"/>
      <c r="M30" s="1313"/>
      <c r="N30" s="1313"/>
      <c r="O30" s="1313"/>
      <c r="S30" s="2315" t="s">
        <v>439</v>
      </c>
      <c r="T30" s="2315"/>
      <c r="U30" s="1437"/>
      <c r="V30" s="2329" t="str">
        <f>IF(TITLE_DATE_PR_CHANGE="",IF(TITLE_DATE_PR="","",TITLE_DATE_PR),TITLE_DATE_PR_CHANGE)</f>
        <v>45643.434652777774</v>
      </c>
      <c r="W30" s="2329"/>
      <c r="X30" s="2329"/>
      <c r="Y30" s="2329"/>
      <c r="Z30" s="2329"/>
      <c r="AA30" s="2329"/>
      <c r="AB30" s="2329"/>
      <c r="AC30" s="1700"/>
      <c r="AD30" s="2329" t="str">
        <f>IF(TITLE_DATE_PR_CHANGE="",IF(TITLE_DATE_PR="","",TITLE_DATE_PR),TITLE_DATE_PR_CHANGE)</f>
        <v>45643.434652777774</v>
      </c>
      <c r="AE30" s="2329"/>
      <c r="AF30" s="2329"/>
      <c r="AG30" s="2329"/>
      <c r="AH30" s="2329"/>
      <c r="AI30" s="2329"/>
      <c r="AJ30" s="2329"/>
      <c r="AK30" s="1700"/>
      <c r="AL30" s="1700"/>
      <c r="AM30" s="345"/>
      <c r="AN30" s="433"/>
      <c r="AO30" s="433"/>
      <c r="AP30" s="433"/>
      <c r="AQ30" s="433"/>
      <c r="AR30" s="433"/>
      <c r="AS30" s="483">
        <v>0</v>
      </c>
    </row>
    <row s="5485" customFormat="1" customHeight="1" ht="18.75" hidden="1">
      <c r="A31" s="1313"/>
      <c r="B31" s="1313"/>
      <c r="C31" s="1313"/>
      <c r="D31" s="1313"/>
      <c r="E31" s="1313"/>
      <c r="F31" s="1313"/>
      <c r="G31" s="1313"/>
      <c r="H31" s="1313"/>
      <c r="I31" s="1313"/>
      <c r="J31" s="1313"/>
      <c r="K31" s="1313"/>
      <c r="L31" s="1445"/>
      <c r="M31" s="1313"/>
      <c r="N31" s="1313"/>
      <c r="O31" s="1313"/>
      <c r="S31" s="2315" t="s">
        <v>440</v>
      </c>
      <c r="T31" s="2315"/>
      <c r="U31" s="1437"/>
      <c r="V31" s="2316" t="str">
        <f>IF(TITLE_NUMBER_PR_CHANGE="",IF(TITLE_NUMBER_PR="","",TITLE_NUMBER_PR),TITLE_NUMBER_PR_CHANGE)</f>
        <v>71/2</v>
      </c>
      <c r="W31" s="2316"/>
      <c r="X31" s="2316"/>
      <c r="Y31" s="2316"/>
      <c r="Z31" s="2316"/>
      <c r="AA31" s="2316"/>
      <c r="AB31" s="2316"/>
      <c r="AC31" s="1700"/>
      <c r="AD31" s="2316" t="str">
        <f>IF(TITLE_NUMBER_PR_CHANGE="",IF(TITLE_NUMBER_PR="","",TITLE_NUMBER_PR),TITLE_NUMBER_PR_CHANGE)</f>
        <v>71/2</v>
      </c>
      <c r="AE31" s="2316"/>
      <c r="AF31" s="2316"/>
      <c r="AG31" s="2316"/>
      <c r="AH31" s="2316"/>
      <c r="AI31" s="2316"/>
      <c r="AJ31" s="2316"/>
      <c r="AK31" s="1700"/>
      <c r="AL31" s="1700"/>
      <c r="AM31" s="345"/>
      <c r="AN31" s="433"/>
      <c r="AO31" s="433"/>
      <c r="AP31" s="433"/>
      <c r="AQ31" s="433"/>
      <c r="AR31" s="433"/>
      <c r="AS31" s="483">
        <v>0</v>
      </c>
    </row>
    <row s="5485"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Официальный интернет-портал правовой информации Ставропольского края</v>
      </c>
      <c r="W32" s="2316"/>
      <c r="X32" s="2316"/>
      <c r="Y32" s="2316"/>
      <c r="Z32" s="2316"/>
      <c r="AA32" s="2316"/>
      <c r="AB32" s="2316"/>
      <c r="AC32" s="1700"/>
      <c r="AD32" s="2316" t="str">
        <f>IF(TITLE_IST_PUB_CHANGE="",IF(TITLE_IST_PUB="","",TITLE_IST_PUB),TITLE_IST_PUB_CHANGE)</f>
        <v>Официальный интернет-портал правовой информации Ставропольского края</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485" customFormat="1" customHeight="1" ht="18.75" hidden="1">
      <c r="A34" s="1313"/>
      <c r="B34" s="1313"/>
      <c r="C34" s="1313"/>
      <c r="D34" s="1313"/>
      <c r="E34" s="1313"/>
      <c r="F34" s="1313"/>
      <c r="G34" s="1313"/>
      <c r="H34" s="1313"/>
      <c r="I34" s="1313"/>
      <c r="J34" s="1313"/>
      <c r="K34" s="1313"/>
      <c r="L34" s="1445"/>
      <c r="M34" s="1313"/>
      <c r="N34" s="1313"/>
      <c r="O34" s="1313"/>
      <c r="S34" s="2315" t="s">
        <v>441</v>
      </c>
      <c r="T34" s="2315"/>
      <c r="U34" s="1437"/>
      <c r="V34" s="2329" t="str">
        <f>IF(TITLE_DATE_PR_CHANGE="",IF(TITLE_DATE_PR="","",TITLE_DATE_PR),TITLE_DATE_PR_CHANGE)</f>
        <v>45643.434652777774</v>
      </c>
      <c r="W34" s="2329"/>
      <c r="X34" s="2329"/>
      <c r="Y34" s="2329"/>
      <c r="Z34" s="2329"/>
      <c r="AA34" s="2329"/>
      <c r="AB34" s="2329"/>
      <c r="AC34" s="1700"/>
      <c r="AD34" s="2329" t="str">
        <f>IF(TITLE_DATE_PR_CHANGE="",IF(TITLE_DATE_PR="","",TITLE_DATE_PR),TITLE_DATE_PR_CHANGE)</f>
        <v>45643.434652777774</v>
      </c>
      <c r="AE34" s="2329"/>
      <c r="AF34" s="2329"/>
      <c r="AG34" s="2329"/>
      <c r="AH34" s="2329"/>
      <c r="AI34" s="2329"/>
      <c r="AJ34" s="2329"/>
      <c r="AK34" s="1700"/>
      <c r="AL34" s="1700"/>
      <c r="AM34" s="345"/>
      <c r="AN34" s="433"/>
      <c r="AO34" s="433"/>
      <c r="AP34" s="433"/>
      <c r="AQ34" s="433"/>
      <c r="AR34" s="433"/>
      <c r="AS34" s="483">
        <v>0</v>
      </c>
    </row>
    <row s="5485" customFormat="1" customHeight="1" ht="18.75" hidden="1">
      <c r="A35" s="1313"/>
      <c r="B35" s="1313"/>
      <c r="C35" s="1313"/>
      <c r="D35" s="1313"/>
      <c r="E35" s="1313"/>
      <c r="F35" s="1313"/>
      <c r="G35" s="1313"/>
      <c r="H35" s="1313"/>
      <c r="I35" s="1313"/>
      <c r="J35" s="1313"/>
      <c r="K35" s="1313"/>
      <c r="L35" s="1445"/>
      <c r="M35" s="1313"/>
      <c r="N35" s="1313"/>
      <c r="O35" s="1313"/>
      <c r="S35" s="2315" t="s">
        <v>442</v>
      </c>
      <c r="T35" s="2315"/>
      <c r="U35" s="1437"/>
      <c r="V35" s="2316" t="str">
        <f>IF(TITLE_NUMBER_PR_CHANGE="",IF(TITLE_NUMBER_PR="","",TITLE_NUMBER_PR),TITLE_NUMBER_PR_CHANGE)</f>
        <v>71/2</v>
      </c>
      <c r="W35" s="2316"/>
      <c r="X35" s="2316"/>
      <c r="Y35" s="2316"/>
      <c r="Z35" s="2316"/>
      <c r="AA35" s="2316"/>
      <c r="AB35" s="2316"/>
      <c r="AC35" s="1700"/>
      <c r="AD35" s="2316" t="str">
        <f>IF(TITLE_NUMBER_PR_CHANGE="",IF(TITLE_NUMBER_PR="","",TITLE_NUMBER_PR),TITLE_NUMBER_PR_CHANGE)</f>
        <v>71/2</v>
      </c>
      <c r="AE35" s="2316"/>
      <c r="AF35" s="2316"/>
      <c r="AG35" s="2316"/>
      <c r="AH35" s="2316"/>
      <c r="AI35" s="2316"/>
      <c r="AJ35" s="2316"/>
      <c r="AK35" s="1700"/>
      <c r="AL35" s="1700"/>
      <c r="AM35" s="345"/>
      <c r="AN35" s="433"/>
      <c r="AO35" s="433"/>
      <c r="AP35" s="433"/>
      <c r="AQ35" s="433"/>
      <c r="AR35" s="433"/>
      <c r="AS35" s="483">
        <v>0</v>
      </c>
    </row>
    <row s="5485"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443</v>
      </c>
      <c r="AD36" s="1700"/>
      <c r="AE36" s="1700"/>
      <c r="AF36" s="1700"/>
      <c r="AG36" s="1700"/>
      <c r="AH36" s="1700"/>
      <c r="AI36" s="1700"/>
      <c r="AJ36" s="1700"/>
      <c r="AK36" s="1707" t="s">
        <v>443</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319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320</v>
      </c>
      <c r="AS38" s="1696">
        <v>14</v>
      </c>
    </row>
    <row customHeight="1" ht="14.699999999999998">
      <c r="Q39" s="441"/>
      <c r="R39" s="441"/>
      <c r="S39" s="2338" t="s">
        <v>91</v>
      </c>
      <c r="T39" s="2274" t="s">
        <v>444</v>
      </c>
      <c r="U39" s="402"/>
      <c r="V39" s="2339" t="s">
        <v>445</v>
      </c>
      <c r="W39" s="2340"/>
      <c r="X39" s="2340"/>
      <c r="Y39" s="2340"/>
      <c r="Z39" s="2340"/>
      <c r="AA39" s="2340"/>
      <c r="AB39" s="2341"/>
      <c r="AC39" s="2342" t="s">
        <v>446</v>
      </c>
      <c r="AD39" s="2339" t="s">
        <v>445</v>
      </c>
      <c r="AE39" s="2340"/>
      <c r="AF39" s="2340"/>
      <c r="AG39" s="2340"/>
      <c r="AH39" s="2340"/>
      <c r="AI39" s="2340"/>
      <c r="AJ39" s="2341"/>
      <c r="AK39" s="2342" t="s">
        <v>447</v>
      </c>
      <c r="AL39" s="2345" t="s">
        <v>448</v>
      </c>
      <c r="AM39" s="2192"/>
      <c r="AS39" s="1696">
        <v>14</v>
      </c>
    </row>
    <row customHeight="1" ht="35.699999999999996">
      <c r="Q40" s="441"/>
      <c r="R40" s="441"/>
      <c r="S40" s="2338"/>
      <c r="T40" s="2274"/>
      <c r="U40" s="1096"/>
      <c r="V40" s="2325" t="s">
        <v>449</v>
      </c>
      <c r="W40" s="2348" t="s">
        <v>450</v>
      </c>
      <c r="X40" s="2327" t="s">
        <v>451</v>
      </c>
      <c r="Y40" s="2328"/>
      <c r="Z40" s="2327" t="s">
        <v>467</v>
      </c>
      <c r="AA40" s="2334"/>
      <c r="AB40" s="2328"/>
      <c r="AC40" s="2343"/>
      <c r="AD40" s="2325" t="s">
        <v>449</v>
      </c>
      <c r="AE40" s="2348" t="s">
        <v>450</v>
      </c>
      <c r="AF40" s="2327" t="s">
        <v>451</v>
      </c>
      <c r="AG40" s="2328"/>
      <c r="AH40" s="2327" t="s">
        <v>452</v>
      </c>
      <c r="AI40" s="2334"/>
      <c r="AJ40" s="2328"/>
      <c r="AK40" s="2343"/>
      <c r="AL40" s="2346"/>
      <c r="AM40" s="2192"/>
      <c r="AS40" s="1696">
        <v>34</v>
      </c>
    </row>
    <row customHeight="1" ht="35.699999999999996">
      <c r="A41" s="1331"/>
      <c r="B41" s="1331" t="s">
        <v>138</v>
      </c>
      <c r="C41" s="1331" t="s">
        <v>139</v>
      </c>
      <c r="D41" s="1331" t="s">
        <v>140</v>
      </c>
      <c r="E41" s="1375" t="s">
        <v>453</v>
      </c>
      <c r="F41" s="1375" t="s">
        <v>454</v>
      </c>
      <c r="G41" s="1375" t="s">
        <v>455</v>
      </c>
      <c r="H41" s="1375" t="s">
        <v>456</v>
      </c>
      <c r="I41" s="1375" t="s">
        <v>457</v>
      </c>
      <c r="J41" s="1375" t="s">
        <v>458</v>
      </c>
      <c r="K41" s="1375" t="s">
        <v>459</v>
      </c>
      <c r="L41" s="1375" t="s">
        <v>434</v>
      </c>
      <c r="Q41" s="441"/>
      <c r="R41" s="441"/>
      <c r="S41" s="2338"/>
      <c r="T41" s="2274"/>
      <c r="U41" s="367"/>
      <c r="V41" s="2326"/>
      <c r="W41" s="2349"/>
      <c r="X41" s="2003" t="s">
        <v>460</v>
      </c>
      <c r="Y41" s="2003" t="s">
        <v>461</v>
      </c>
      <c r="Z41" s="2003" t="s">
        <v>462</v>
      </c>
      <c r="AA41" s="2335" t="s">
        <v>463</v>
      </c>
      <c r="AB41" s="2336"/>
      <c r="AC41" s="2344"/>
      <c r="AD41" s="2326"/>
      <c r="AE41" s="2349"/>
      <c r="AF41" s="2003" t="s">
        <v>460</v>
      </c>
      <c r="AG41" s="2003" t="s">
        <v>461</v>
      </c>
      <c r="AH41" s="2003" t="s">
        <v>462</v>
      </c>
      <c r="AI41" s="2335" t="s">
        <v>463</v>
      </c>
      <c r="AJ41" s="2336"/>
      <c r="AK41" s="2344"/>
      <c r="AL41" s="2347"/>
      <c r="AM41" s="2192"/>
      <c r="AS41" s="1696">
        <v>34</v>
      </c>
    </row>
    <row s="4094"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112</v>
      </c>
      <c r="T42" s="1320" t="s">
        <v>113</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231</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231</v>
      </c>
      <c r="B44" s="1332" t="s">
        <v>232</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416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417</v>
      </c>
      <c r="AO44" s="1689"/>
      <c r="AP44" s="1689" t="str">
        <f>IF(T44="","",T44)</f>
        <v>Территория действия тарифа</v>
      </c>
      <c r="AQ44" s="1689"/>
      <c r="AR44" s="1689"/>
      <c r="AS44" s="1696">
        <v>21</v>
      </c>
    </row>
    <row customHeight="1" ht="24">
      <c r="A45" s="1332" t="s">
        <v>231</v>
      </c>
      <c r="B45" s="1332" t="s">
        <v>232</v>
      </c>
      <c r="C45" s="1332" t="s">
        <v>233</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418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419</v>
      </c>
      <c r="AO45" s="1689"/>
      <c r="AP45" s="1689" t="str">
        <f>IF(T45="","",T45)</f>
        <v>Наименование системы теплоснабжения </v>
      </c>
      <c r="AQ45" s="1689"/>
      <c r="AR45" s="1689"/>
      <c r="AS45" s="1696">
        <v>23</v>
      </c>
    </row>
    <row customHeight="1" ht="22.049999999999997">
      <c r="A46" s="1332" t="s">
        <v>231</v>
      </c>
      <c r="B46" s="1332" t="s">
        <v>232</v>
      </c>
      <c r="C46" s="1332" t="s">
        <v>233</v>
      </c>
      <c r="D46" s="1332" t="s">
        <v>234</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420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421</v>
      </c>
      <c r="AO46" s="1689"/>
      <c r="AP46" s="1689" t="str">
        <f>IF(T46="","",T46)</f>
        <v>Источник тепловой энергии  </v>
      </c>
      <c r="AQ46" s="1689"/>
      <c r="AR46" s="1689"/>
      <c r="AS46" s="1696">
        <v>21</v>
      </c>
    </row>
    <row customHeight="1" ht="49.5">
      <c r="A47" s="1332" t="s">
        <v>231</v>
      </c>
      <c r="B47" s="1332" t="s">
        <v>232</v>
      </c>
      <c r="C47" s="1332" t="s">
        <v>233</v>
      </c>
      <c r="D47" s="1332" t="s">
        <v>234</v>
      </c>
      <c r="E47" s="2355"/>
      <c r="F47" s="2355"/>
      <c r="G47" s="2355"/>
      <c r="H47" s="2355"/>
      <c r="I47" s="2192" t="str">
        <f>S46&amp;".1"</f>
        <v>....1</v>
      </c>
      <c r="J47" s="1332"/>
      <c r="K47" s="1332"/>
      <c r="L47" s="1375" t="s">
        <v>422</v>
      </c>
      <c r="P47" s="2322">
        <v>1</v>
      </c>
      <c r="Q47" s="2019"/>
      <c r="R47" s="421"/>
      <c r="S47" s="2023" t="str">
        <f>$I47</f>
        <v>....1</v>
      </c>
      <c r="T47" s="350" t="s">
        <v>423</v>
      </c>
      <c r="U47" s="365"/>
      <c r="V47" s="2310"/>
      <c r="W47" s="2311"/>
      <c r="X47" s="2311"/>
      <c r="Y47" s="2311"/>
      <c r="Z47" s="2311"/>
      <c r="AA47" s="2311"/>
      <c r="AB47" s="2311"/>
      <c r="AC47" s="2312"/>
      <c r="AD47" s="2310"/>
      <c r="AE47" s="2311"/>
      <c r="AF47" s="2311"/>
      <c r="AG47" s="2311"/>
      <c r="AH47" s="2311"/>
      <c r="AI47" s="2311"/>
      <c r="AJ47" s="2311"/>
      <c r="AK47" s="2311"/>
      <c r="AL47" s="2312"/>
      <c r="AM47" s="1323" t="s">
        <v>424</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231</v>
      </c>
      <c r="B48" s="1332" t="s">
        <v>232</v>
      </c>
      <c r="C48" s="1332" t="s">
        <v>233</v>
      </c>
      <c r="D48" s="1332" t="s">
        <v>234</v>
      </c>
      <c r="E48" s="2355"/>
      <c r="F48" s="2355"/>
      <c r="G48" s="2355"/>
      <c r="H48" s="2355"/>
      <c r="I48" s="2166"/>
      <c r="J48" s="2192" t="str">
        <f>I47&amp;".1"</f>
        <v>....1.1</v>
      </c>
      <c r="K48" s="1332"/>
      <c r="L48" s="1375" t="s">
        <v>425</v>
      </c>
      <c r="P48" s="2322"/>
      <c r="Q48" s="2322">
        <v>1</v>
      </c>
      <c r="R48" s="422"/>
      <c r="S48" s="2023" t="str">
        <f>$J48</f>
        <v>....1.1</v>
      </c>
      <c r="T48" s="351" t="s">
        <v>426</v>
      </c>
      <c r="U48" s="365"/>
      <c r="V48" s="2310"/>
      <c r="W48" s="2311"/>
      <c r="X48" s="2311"/>
      <c r="Y48" s="2311"/>
      <c r="Z48" s="2311"/>
      <c r="AA48" s="2311"/>
      <c r="AB48" s="2311"/>
      <c r="AC48" s="2312"/>
      <c r="AD48" s="2310"/>
      <c r="AE48" s="2311"/>
      <c r="AF48" s="2311"/>
      <c r="AG48" s="2311"/>
      <c r="AH48" s="2311"/>
      <c r="AI48" s="2311"/>
      <c r="AJ48" s="2311"/>
      <c r="AK48" s="2311"/>
      <c r="AL48" s="2312"/>
      <c r="AM48" s="1323" t="s">
        <v>427</v>
      </c>
      <c r="AO48" s="1689"/>
      <c r="AP48" s="1689" t="str">
        <f>IF(T48="","",T48)</f>
        <v>Группа потребителей</v>
      </c>
      <c r="AQ48" s="1689"/>
      <c r="AR48" s="1689"/>
      <c r="AS48" s="1696">
        <v>21</v>
      </c>
    </row>
    <row customHeight="1" ht="22.049999999999997">
      <c r="A49" s="1332" t="s">
        <v>231</v>
      </c>
      <c r="B49" s="1332" t="s">
        <v>232</v>
      </c>
      <c r="C49" s="1332" t="s">
        <v>233</v>
      </c>
      <c r="D49" s="1332" t="s">
        <v>234</v>
      </c>
      <c r="E49" s="2355"/>
      <c r="F49" s="2355"/>
      <c r="G49" s="2355"/>
      <c r="H49" s="2355"/>
      <c r="I49" s="2166"/>
      <c r="J49" s="2166"/>
      <c r="K49" s="2192" t="str">
        <f>J48&amp;".1"</f>
        <v>....1.1.1</v>
      </c>
      <c r="L49" s="1375" t="s">
        <v>428</v>
      </c>
      <c r="P49" s="2322"/>
      <c r="Q49" s="2322"/>
      <c r="R49" s="422">
        <v>1</v>
      </c>
      <c r="S49" s="2023" t="str">
        <f>$K49</f>
        <v>....1.1.1</v>
      </c>
      <c r="T49" s="1412"/>
      <c r="U49" s="365"/>
      <c r="V49" s="816"/>
      <c r="W49" s="390"/>
      <c r="X49" s="816"/>
      <c r="Y49" s="1322"/>
      <c r="Z49" s="2330"/>
      <c r="AA49" s="2172" t="s">
        <v>64</v>
      </c>
      <c r="AB49" s="2330"/>
      <c r="AC49" s="2172" t="s">
        <v>64</v>
      </c>
      <c r="AD49" s="816"/>
      <c r="AE49" s="390"/>
      <c r="AF49" s="816"/>
      <c r="AG49" s="1322"/>
      <c r="AH49" s="2330"/>
      <c r="AI49" s="2172" t="s">
        <v>64</v>
      </c>
      <c r="AJ49" s="2352"/>
      <c r="AK49" s="2172" t="s">
        <v>64</v>
      </c>
      <c r="AL49" s="1413"/>
      <c r="AM49" s="2318" t="s">
        <v>429</v>
      </c>
      <c r="AN49" s="1701">
        <f>STRCHECKDATE(V50:AL50)</f>
      </c>
      <c r="AO49" s="1689"/>
      <c r="AP49" s="1689" t="str">
        <f>IF(T49="","",T49)</f>
        <v/>
      </c>
      <c r="AQ49" s="1689"/>
      <c r="AR49" s="1689"/>
      <c r="AS49" s="1696">
        <v>21</v>
      </c>
    </row>
    <row customHeight="1" ht="1.05">
      <c r="A50" s="1332" t="s">
        <v>231</v>
      </c>
      <c r="B50" s="1332" t="s">
        <v>232</v>
      </c>
      <c r="C50" s="1332" t="s">
        <v>233</v>
      </c>
      <c r="D50" s="1332" t="s">
        <v>234</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231</v>
      </c>
      <c r="B51" s="1332" t="s">
        <v>232</v>
      </c>
      <c r="C51" s="1332" t="s">
        <v>233</v>
      </c>
      <c r="D51" s="1332" t="s">
        <v>234</v>
      </c>
      <c r="E51" s="2355"/>
      <c r="F51" s="2355"/>
      <c r="G51" s="2355"/>
      <c r="H51" s="2355"/>
      <c r="I51" s="2166"/>
      <c r="J51" s="2192"/>
      <c r="K51" s="1332"/>
      <c r="L51" s="1375"/>
      <c r="P51" s="2322"/>
      <c r="Q51" s="2322"/>
      <c r="R51" s="421"/>
      <c r="S51" s="1343"/>
      <c r="T51" s="353" t="s">
        <v>430</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231</v>
      </c>
      <c r="B52" s="1332" t="s">
        <v>232</v>
      </c>
      <c r="C52" s="1332" t="s">
        <v>233</v>
      </c>
      <c r="D52" s="1332" t="s">
        <v>234</v>
      </c>
      <c r="E52" s="2355"/>
      <c r="F52" s="2355"/>
      <c r="G52" s="2355"/>
      <c r="H52" s="2355"/>
      <c r="I52" s="2192"/>
      <c r="J52" s="1332"/>
      <c r="K52" s="1332"/>
      <c r="L52" s="1375"/>
      <c r="P52" s="2322"/>
      <c r="Q52" s="2019"/>
      <c r="R52" s="421"/>
      <c r="S52" s="1343"/>
      <c r="T52" s="352" t="s">
        <v>431</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231</v>
      </c>
      <c r="B53" s="1332" t="s">
        <v>232</v>
      </c>
      <c r="C53" s="1332" t="s">
        <v>233</v>
      </c>
      <c r="D53" s="1332" t="s">
        <v>234</v>
      </c>
      <c r="E53" s="2355"/>
      <c r="F53" s="2355"/>
      <c r="G53" s="2355"/>
      <c r="H53" s="2354"/>
      <c r="I53" s="1332"/>
      <c r="J53" s="1332"/>
      <c r="K53" s="1332"/>
      <c r="L53" s="1375"/>
      <c r="M53" s="1675"/>
      <c r="N53" s="1675"/>
      <c r="O53" s="1700"/>
      <c r="P53" s="425"/>
      <c r="Q53" s="440"/>
      <c r="R53" s="420"/>
      <c r="S53" s="1343"/>
      <c r="T53" s="430" t="s">
        <v>432</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423" customFormat="1" customHeight="1" ht="1.05">
      <c r="A54" s="1332" t="s">
        <v>231</v>
      </c>
      <c r="B54" s="1332" t="s">
        <v>232</v>
      </c>
      <c r="C54" s="1332" t="s">
        <v>233</v>
      </c>
      <c r="D54" s="2039"/>
      <c r="E54" s="2355"/>
      <c r="F54" s="2355"/>
      <c r="G54" s="2354"/>
      <c r="H54" s="2039"/>
      <c r="I54" s="2039"/>
      <c r="J54" s="2039"/>
      <c r="K54" s="2039"/>
      <c r="L54" s="1445"/>
      <c r="M54" s="1675"/>
      <c r="N54" s="1675"/>
      <c r="O54" s="1700"/>
      <c r="P54" s="1381"/>
      <c r="Q54" s="1382"/>
      <c r="R54" s="1381"/>
      <c r="S54" s="1387"/>
      <c r="T54" s="1390" t="s">
        <v>165</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423" customFormat="1" customHeight="1" ht="1.05">
      <c r="A55" s="1332" t="s">
        <v>231</v>
      </c>
      <c r="B55" s="1332" t="s">
        <v>232</v>
      </c>
      <c r="C55" s="2039"/>
      <c r="D55" s="2039"/>
      <c r="E55" s="2355"/>
      <c r="F55" s="2354"/>
      <c r="G55" s="2039"/>
      <c r="H55" s="2039"/>
      <c r="I55" s="2039"/>
      <c r="J55" s="2039"/>
      <c r="K55" s="2039"/>
      <c r="L55" s="1445"/>
      <c r="M55" s="2040"/>
      <c r="N55" s="2040"/>
      <c r="O55" s="1700"/>
      <c r="P55" s="1381"/>
      <c r="Q55" s="1382"/>
      <c r="R55" s="1381"/>
      <c r="S55" s="1387"/>
      <c r="T55" s="1390" t="s">
        <v>166</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423" customFormat="1" customHeight="1" ht="1.05">
      <c r="A56" s="1332" t="s">
        <v>231</v>
      </c>
      <c r="B56" s="1332"/>
      <c r="C56" s="1332"/>
      <c r="D56" s="1332"/>
      <c r="E56" s="2354"/>
      <c r="F56" s="1332"/>
      <c r="G56" s="1332"/>
      <c r="H56" s="1332"/>
      <c r="I56" s="1332"/>
      <c r="J56" s="1332"/>
      <c r="K56" s="1332"/>
      <c r="L56" s="1375"/>
      <c r="M56" s="2040"/>
      <c r="N56" s="2040"/>
      <c r="O56" s="1700"/>
      <c r="P56" s="445"/>
      <c r="Q56" s="1409"/>
      <c r="R56" s="445"/>
      <c r="S56" s="1387"/>
      <c r="T56" s="1390" t="s">
        <v>167</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423"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168</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85</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F2D6B-DE1E-80C3-6F9C-24441E06C7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2.00390625" hidden="1" customWidth="1"/>
    <col min="10" max="10" style="4903" width="9.8515625" hidden="1" customWidth="1"/>
    <col min="11" max="11" style="4903" width="11.4218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1.00390625" customWidth="1"/>
    <col min="21" max="21" style="4921" width="0.7109375" hidden="1" customWidth="1"/>
    <col min="22" max="22" style="4921" width="1.7109375" hidden="1" customWidth="1"/>
    <col min="23" max="23" style="4921" width="24.7109375" hidden="1" customWidth="1"/>
    <col min="24" max="25" style="4921" width="0.14062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0.140625" customWidth="1"/>
    <col min="31" max="31" style="4921" width="24.00390625" customWidth="1"/>
    <col min="32" max="33" style="4921" width="0.140625" customWidth="1"/>
    <col min="34" max="34" style="4921" width="11.00390625" customWidth="1"/>
    <col min="35" max="35" style="4921" width="3.7109375" customWidth="1"/>
    <col min="36" max="36" style="4921" width="11.00390625" customWidth="1"/>
    <col min="37" max="37" style="4921" width="8.57421875" hidden="1" customWidth="1"/>
    <col min="38" max="38" style="4921" width="4.00390625" customWidth="1"/>
    <col min="39" max="39" style="4921" width="115.00390625" customWidth="1"/>
    <col min="40" max="44" style="4423" width="10.00390625" customWidth="1"/>
    <col min="45" max="45" style="4921"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420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421</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422</v>
      </c>
      <c r="M6" s="602"/>
      <c r="P6" s="2322">
        <v>1</v>
      </c>
      <c r="Q6" s="1396"/>
      <c r="R6" s="421"/>
      <c r="S6" s="1401">
        <f>$I6</f>
      </c>
      <c r="T6" s="350" t="s">
        <v>423</v>
      </c>
      <c r="U6" s="365"/>
      <c r="V6" s="2310"/>
      <c r="W6" s="2311"/>
      <c r="X6" s="2311"/>
      <c r="Y6" s="2311"/>
      <c r="Z6" s="2311"/>
      <c r="AA6" s="2311"/>
      <c r="AB6" s="2311"/>
      <c r="AC6" s="2312"/>
      <c r="AD6" s="2310"/>
      <c r="AE6" s="2311"/>
      <c r="AF6" s="2311"/>
      <c r="AG6" s="2311"/>
      <c r="AH6" s="2311"/>
      <c r="AI6" s="2311"/>
      <c r="AJ6" s="2311"/>
      <c r="AK6" s="2311"/>
      <c r="AL6" s="2312"/>
      <c r="AM6" s="1323" t="s">
        <v>424</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425</v>
      </c>
      <c r="M7" s="602"/>
      <c r="N7" s="1431"/>
      <c r="P7" s="2322"/>
      <c r="Q7" s="2322">
        <v>1</v>
      </c>
      <c r="R7" s="422"/>
      <c r="S7" s="1401">
        <f>$J7</f>
      </c>
      <c r="T7" s="351" t="s">
        <v>426</v>
      </c>
      <c r="U7" s="365"/>
      <c r="V7" s="2310"/>
      <c r="W7" s="2311"/>
      <c r="X7" s="2311"/>
      <c r="Y7" s="2311"/>
      <c r="Z7" s="2311"/>
      <c r="AA7" s="2311"/>
      <c r="AB7" s="2311"/>
      <c r="AC7" s="2312"/>
      <c r="AD7" s="2310"/>
      <c r="AE7" s="2311"/>
      <c r="AF7" s="2311"/>
      <c r="AG7" s="2311"/>
      <c r="AH7" s="2311"/>
      <c r="AI7" s="2311"/>
      <c r="AJ7" s="2311"/>
      <c r="AK7" s="2311"/>
      <c r="AL7" s="2312"/>
      <c r="AM7" s="1323" t="s">
        <v>427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428</v>
      </c>
      <c r="M8" s="602"/>
      <c r="N8" s="1431"/>
      <c r="O8" s="1431"/>
      <c r="P8" s="2322"/>
      <c r="Q8" s="2322"/>
      <c r="R8" s="422">
        <v>1</v>
      </c>
      <c r="S8" s="1401">
        <f>$K8</f>
      </c>
      <c r="T8" s="1412"/>
      <c r="U8" s="365"/>
      <c r="V8" s="390"/>
      <c r="W8" s="816"/>
      <c r="X8" s="390"/>
      <c r="Y8" s="449"/>
      <c r="Z8" s="2330"/>
      <c r="AA8" s="2172" t="s">
        <v>64</v>
      </c>
      <c r="AB8" s="2330"/>
      <c r="AC8" s="2172" t="s">
        <v>64</v>
      </c>
      <c r="AD8" s="390"/>
      <c r="AE8" s="816"/>
      <c r="AF8" s="390"/>
      <c r="AG8" s="449"/>
      <c r="AH8" s="2330"/>
      <c r="AI8" s="2172" t="s">
        <v>64</v>
      </c>
      <c r="AJ8" s="2330"/>
      <c r="AK8" s="2172" t="s">
        <v>64</v>
      </c>
      <c r="AL8" s="390"/>
      <c r="AM8" s="2318" t="s">
        <v>429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430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431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432</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423"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423"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423"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64</v>
      </c>
      <c r="AJ17" s="2332"/>
      <c r="AK17" s="2333" t="s">
        <v>64</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903" customFormat="1" customHeight="1" ht="22.5" hidden="1">
      <c r="L20" s="1394"/>
      <c r="M20" s="1427"/>
      <c r="N20" s="1427"/>
      <c r="O20" s="1432" t="s">
        <v>433</v>
      </c>
      <c r="P20" s="1427"/>
      <c r="Q20" s="1436"/>
      <c r="R20" s="1436"/>
      <c r="S20" s="794"/>
      <c r="Z20" s="1432"/>
      <c r="AB20" s="1432"/>
      <c r="AC20" s="1431"/>
      <c r="AH20" s="1432"/>
      <c r="AJ20" s="1432"/>
      <c r="AK20" s="1431"/>
      <c r="AN20" s="576"/>
      <c r="AO20" s="576"/>
      <c r="AP20" s="576"/>
      <c r="AQ20" s="576"/>
      <c r="AR20" s="576"/>
      <c r="AS20" s="1225">
        <v>0</v>
      </c>
    </row>
    <row s="4903" customFormat="1" customHeight="1" ht="14.25" hidden="1">
      <c r="L21" s="1394"/>
      <c r="M21" s="1427"/>
      <c r="N21" s="1427"/>
      <c r="O21" s="1427"/>
      <c r="P21" s="1427"/>
      <c r="Q21" s="1436"/>
      <c r="R21" s="1436"/>
      <c r="S21" s="794"/>
      <c r="AC21" s="1431"/>
      <c r="AK21" s="1431"/>
      <c r="AN21" s="576"/>
      <c r="AO21" s="576"/>
      <c r="AP21" s="576"/>
      <c r="AQ21" s="576"/>
      <c r="AR21" s="576"/>
      <c r="AS21" s="1225">
        <v>0</v>
      </c>
    </row>
    <row s="4903" customFormat="1" customHeight="1" ht="33.75" hidden="1">
      <c r="L22" s="1394"/>
      <c r="M22" s="1427"/>
      <c r="N22" s="1427"/>
      <c r="O22" s="1429" t="s">
        <v>434</v>
      </c>
      <c r="P22" s="1427"/>
      <c r="Q22" s="1436"/>
      <c r="R22" s="1436"/>
      <c r="S22" s="794"/>
      <c r="T22" s="1225" t="s">
        <v>435</v>
      </c>
      <c r="AA22" s="251" t="s">
        <v>436</v>
      </c>
      <c r="AC22" s="251" t="s">
        <v>437</v>
      </c>
      <c r="AD22" s="1225" t="s">
        <v>435</v>
      </c>
      <c r="AI22" s="251" t="s">
        <v>438</v>
      </c>
      <c r="AK22" s="251" t="s">
        <v>437</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485"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485" customFormat="1" customHeight="1" ht="18.75">
      <c r="A30" s="1433"/>
      <c r="B30" s="1433"/>
      <c r="C30" s="1433"/>
      <c r="D30" s="1433"/>
      <c r="E30" s="1433"/>
      <c r="F30" s="1433"/>
      <c r="G30" s="1433"/>
      <c r="H30" s="1433"/>
      <c r="I30" s="1433"/>
      <c r="J30" s="1433"/>
      <c r="K30" s="1433"/>
      <c r="L30" s="1434"/>
      <c r="M30" s="1433"/>
      <c r="N30" s="1433"/>
      <c r="O30" s="1433"/>
      <c r="S30" s="2315" t="s">
        <v>439</v>
      </c>
      <c r="T30" s="2315"/>
      <c r="U30" s="1437"/>
      <c r="V30" s="2329" t="str">
        <f>IF(TITLE_DATE_PR_CHANGE="",IF(TITLE_DATE_PR="","",TITLE_DATE_PR),TITLE_DATE_PR_CHANGE)</f>
        <v>45643.434652777774</v>
      </c>
      <c r="W30" s="2329"/>
      <c r="X30" s="2329"/>
      <c r="Y30" s="2329"/>
      <c r="Z30" s="2329"/>
      <c r="AA30" s="2329"/>
      <c r="AB30" s="2329"/>
      <c r="AC30" s="391"/>
      <c r="AD30" s="2329" t="str">
        <f>IF(TITLE_DATE_PR_CHANGE="",IF(TITLE_DATE_PR="","",TITLE_DATE_PR),TITLE_DATE_PR_CHANGE)</f>
        <v>45643.434652777774</v>
      </c>
      <c r="AE30" s="2329"/>
      <c r="AF30" s="2329"/>
      <c r="AG30" s="2329"/>
      <c r="AH30" s="2329"/>
      <c r="AI30" s="2329"/>
      <c r="AJ30" s="2329"/>
      <c r="AK30" s="391"/>
      <c r="AL30" s="391"/>
      <c r="AM30" s="345"/>
      <c r="AN30" s="433"/>
      <c r="AO30" s="433"/>
      <c r="AP30" s="433"/>
      <c r="AQ30" s="433"/>
      <c r="AR30" s="433"/>
      <c r="AS30" s="483">
        <v>0</v>
      </c>
    </row>
    <row s="5485" customFormat="1" customHeight="1" ht="18.75">
      <c r="A31" s="1433"/>
      <c r="B31" s="1433"/>
      <c r="C31" s="1433"/>
      <c r="D31" s="1433"/>
      <c r="E31" s="1433"/>
      <c r="F31" s="1433"/>
      <c r="G31" s="1433"/>
      <c r="H31" s="1433"/>
      <c r="I31" s="1433"/>
      <c r="J31" s="1433"/>
      <c r="K31" s="1433"/>
      <c r="L31" s="1434"/>
      <c r="M31" s="1433"/>
      <c r="N31" s="1433"/>
      <c r="O31" s="1433"/>
      <c r="S31" s="2315" t="s">
        <v>440</v>
      </c>
      <c r="T31" s="2315"/>
      <c r="U31" s="1437"/>
      <c r="V31" s="2316" t="str">
        <f>IF(TITLE_NUMBER_PR_CHANGE="",IF(TITLE_NUMBER_PR="","",TITLE_NUMBER_PR),TITLE_NUMBER_PR_CHANGE)</f>
        <v>71/2</v>
      </c>
      <c r="W31" s="2316"/>
      <c r="X31" s="2316"/>
      <c r="Y31" s="2316"/>
      <c r="Z31" s="2316"/>
      <c r="AA31" s="2316"/>
      <c r="AB31" s="2316"/>
      <c r="AC31" s="391"/>
      <c r="AD31" s="2316" t="str">
        <f>IF(TITLE_NUMBER_PR_CHANGE="",IF(TITLE_NUMBER_PR="","",TITLE_NUMBER_PR),TITLE_NUMBER_PR_CHANGE)</f>
        <v>71/2</v>
      </c>
      <c r="AE31" s="2316"/>
      <c r="AF31" s="2316"/>
      <c r="AG31" s="2316"/>
      <c r="AH31" s="2316"/>
      <c r="AI31" s="2316"/>
      <c r="AJ31" s="2316"/>
      <c r="AK31" s="391"/>
      <c r="AL31" s="391"/>
      <c r="AM31" s="345"/>
      <c r="AN31" s="433"/>
      <c r="AO31" s="433"/>
      <c r="AP31" s="433"/>
      <c r="AQ31" s="433"/>
      <c r="AR31" s="433"/>
      <c r="AS31" s="483">
        <v>0</v>
      </c>
    </row>
    <row s="5485"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Официальный интернет-портал правовой информации Ставропольского края</v>
      </c>
      <c r="W32" s="2316"/>
      <c r="X32" s="2316"/>
      <c r="Y32" s="2316"/>
      <c r="Z32" s="2316"/>
      <c r="AA32" s="2316"/>
      <c r="AB32" s="2316"/>
      <c r="AC32" s="391"/>
      <c r="AD32" s="2316" t="str">
        <f>IF(TITLE_IST_PUB_CHANGE="",IF(TITLE_IST_PUB="","",TITLE_IST_PUB),TITLE_IST_PUB_CHANGE)</f>
        <v>Официальный интернет-портал правовой информации Ставропольского края</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485" customFormat="1" customHeight="1" ht="18.75" hidden="1">
      <c r="A34" s="1433"/>
      <c r="B34" s="1433"/>
      <c r="C34" s="1433"/>
      <c r="D34" s="1433"/>
      <c r="E34" s="1433"/>
      <c r="F34" s="1433"/>
      <c r="G34" s="1433"/>
      <c r="H34" s="1433"/>
      <c r="I34" s="1433"/>
      <c r="J34" s="1433"/>
      <c r="K34" s="1433"/>
      <c r="L34" s="1434"/>
      <c r="M34" s="1433"/>
      <c r="N34" s="1433"/>
      <c r="O34" s="1433"/>
      <c r="S34" s="2315" t="s">
        <v>441</v>
      </c>
      <c r="T34" s="2315"/>
      <c r="U34" s="1437"/>
      <c r="V34" s="2329" t="str">
        <f>IF(TITLE_DATE_PR_CHANGE="",IF(TITLE_DATE_PR="","",TITLE_DATE_PR),TITLE_DATE_PR_CHANGE)</f>
        <v>45643.434652777774</v>
      </c>
      <c r="W34" s="2329"/>
      <c r="X34" s="2329"/>
      <c r="Y34" s="2329"/>
      <c r="Z34" s="2329"/>
      <c r="AA34" s="2329"/>
      <c r="AB34" s="2329"/>
      <c r="AC34" s="391"/>
      <c r="AD34" s="2329" t="str">
        <f>IF(TITLE_DATE_PR_CHANGE="",IF(TITLE_DATE_PR="","",TITLE_DATE_PR),TITLE_DATE_PR_CHANGE)</f>
        <v>45643.434652777774</v>
      </c>
      <c r="AE34" s="2329"/>
      <c r="AF34" s="2329"/>
      <c r="AG34" s="2329"/>
      <c r="AH34" s="2329"/>
      <c r="AI34" s="2329"/>
      <c r="AJ34" s="2329"/>
      <c r="AK34" s="391"/>
      <c r="AL34" s="391"/>
      <c r="AM34" s="345"/>
      <c r="AN34" s="433"/>
      <c r="AO34" s="433"/>
      <c r="AP34" s="433"/>
      <c r="AQ34" s="433"/>
      <c r="AR34" s="433"/>
      <c r="AS34" s="483">
        <v>0</v>
      </c>
    </row>
    <row s="5485" customFormat="1" customHeight="1" ht="18.75" hidden="1">
      <c r="A35" s="1433"/>
      <c r="B35" s="1433"/>
      <c r="C35" s="1433"/>
      <c r="D35" s="1433"/>
      <c r="E35" s="1433"/>
      <c r="F35" s="1433"/>
      <c r="G35" s="1433"/>
      <c r="H35" s="1433"/>
      <c r="I35" s="1433"/>
      <c r="J35" s="1433"/>
      <c r="K35" s="1433"/>
      <c r="L35" s="1434"/>
      <c r="M35" s="1433"/>
      <c r="N35" s="1433"/>
      <c r="O35" s="1433"/>
      <c r="S35" s="2315" t="s">
        <v>442</v>
      </c>
      <c r="T35" s="2315"/>
      <c r="U35" s="1437"/>
      <c r="V35" s="2316" t="str">
        <f>IF(TITLE_NUMBER_PR_CHANGE="",IF(TITLE_NUMBER_PR="","",TITLE_NUMBER_PR),TITLE_NUMBER_PR_CHANGE)</f>
        <v>71/2</v>
      </c>
      <c r="W35" s="2316"/>
      <c r="X35" s="2316"/>
      <c r="Y35" s="2316"/>
      <c r="Z35" s="2316"/>
      <c r="AA35" s="2316"/>
      <c r="AB35" s="2316"/>
      <c r="AC35" s="391"/>
      <c r="AD35" s="2316" t="str">
        <f>IF(TITLE_NUMBER_PR_CHANGE="",IF(TITLE_NUMBER_PR="","",TITLE_NUMBER_PR),TITLE_NUMBER_PR_CHANGE)</f>
        <v>71/2</v>
      </c>
      <c r="AE35" s="2316"/>
      <c r="AF35" s="2316"/>
      <c r="AG35" s="2316"/>
      <c r="AH35" s="2316"/>
      <c r="AI35" s="2316"/>
      <c r="AJ35" s="2316"/>
      <c r="AK35" s="391"/>
      <c r="AL35" s="391"/>
      <c r="AM35" s="345"/>
      <c r="AN35" s="433"/>
      <c r="AO35" s="433"/>
      <c r="AP35" s="433"/>
      <c r="AQ35" s="433"/>
      <c r="AR35" s="433"/>
      <c r="AS35" s="483">
        <v>0</v>
      </c>
    </row>
    <row s="5485"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443</v>
      </c>
      <c r="AD36" s="391"/>
      <c r="AE36" s="391"/>
      <c r="AF36" s="391"/>
      <c r="AG36" s="391"/>
      <c r="AH36" s="391"/>
      <c r="AI36" s="391"/>
      <c r="AJ36" s="391"/>
      <c r="AK36" s="343" t="s">
        <v>443</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320</v>
      </c>
      <c r="AS38" s="1220">
        <v>14</v>
      </c>
    </row>
    <row customHeight="1" ht="14.699999999999998">
      <c r="Q39" s="441"/>
      <c r="R39" s="441"/>
      <c r="S39" s="2338" t="s">
        <v>91</v>
      </c>
      <c r="T39" s="2274" t="s">
        <v>444</v>
      </c>
      <c r="U39" s="366"/>
      <c r="V39" s="2339" t="s">
        <v>445</v>
      </c>
      <c r="W39" s="2340"/>
      <c r="X39" s="2356"/>
      <c r="Y39" s="2356"/>
      <c r="Z39" s="2340"/>
      <c r="AA39" s="2340"/>
      <c r="AB39" s="2341"/>
      <c r="AC39" s="2342" t="s">
        <v>446</v>
      </c>
      <c r="AD39" s="2339" t="s">
        <v>445</v>
      </c>
      <c r="AE39" s="2340"/>
      <c r="AF39" s="2356"/>
      <c r="AG39" s="2356"/>
      <c r="AH39" s="2340"/>
      <c r="AI39" s="2340"/>
      <c r="AJ39" s="2341"/>
      <c r="AK39" s="2342" t="s">
        <v>447</v>
      </c>
      <c r="AL39" s="2345" t="s">
        <v>448</v>
      </c>
      <c r="AM39" s="2192"/>
      <c r="AS39" s="1220">
        <v>14</v>
      </c>
    </row>
    <row customHeight="1" ht="24">
      <c r="Q40" s="441"/>
      <c r="R40" s="441"/>
      <c r="S40" s="2338"/>
      <c r="T40" s="2274"/>
      <c r="U40" s="1096"/>
      <c r="V40" s="2357" t="s">
        <v>449</v>
      </c>
      <c r="W40" s="2359" t="s">
        <v>450</v>
      </c>
      <c r="X40" s="1441" t="s">
        <v>451</v>
      </c>
      <c r="Y40" s="1441"/>
      <c r="Z40" s="2334" t="s">
        <v>452</v>
      </c>
      <c r="AA40" s="2334"/>
      <c r="AB40" s="2328"/>
      <c r="AC40" s="2343"/>
      <c r="AD40" s="2357" t="s">
        <v>449</v>
      </c>
      <c r="AE40" s="2359" t="s">
        <v>450</v>
      </c>
      <c r="AF40" s="1441" t="s">
        <v>451</v>
      </c>
      <c r="AG40" s="1441"/>
      <c r="AH40" s="2334" t="s">
        <v>452</v>
      </c>
      <c r="AI40" s="2334"/>
      <c r="AJ40" s="2328"/>
      <c r="AK40" s="2343"/>
      <c r="AL40" s="2346"/>
      <c r="AM40" s="2192"/>
      <c r="AS40" s="1220">
        <v>23</v>
      </c>
    </row>
    <row s="5033" customFormat="1" customHeight="1" ht="24">
      <c r="A41" s="1435"/>
      <c r="B41" s="1435" t="s">
        <v>138</v>
      </c>
      <c r="C41" s="1435" t="s">
        <v>139</v>
      </c>
      <c r="D41" s="1435" t="s">
        <v>140</v>
      </c>
      <c r="E41" s="1429" t="s">
        <v>453</v>
      </c>
      <c r="F41" s="1429" t="s">
        <v>454</v>
      </c>
      <c r="G41" s="1429" t="s">
        <v>455</v>
      </c>
      <c r="H41" s="1429" t="s">
        <v>456</v>
      </c>
      <c r="I41" s="1429" t="s">
        <v>457</v>
      </c>
      <c r="J41" s="1429" t="s">
        <v>458</v>
      </c>
      <c r="K41" s="1429" t="s">
        <v>459</v>
      </c>
      <c r="L41" s="1429" t="s">
        <v>434</v>
      </c>
      <c r="M41" s="1427"/>
      <c r="N41" s="1427"/>
      <c r="O41" s="1427"/>
      <c r="P41" s="1393"/>
      <c r="Q41" s="441"/>
      <c r="R41" s="441"/>
      <c r="S41" s="2338"/>
      <c r="T41" s="2274"/>
      <c r="U41" s="367"/>
      <c r="V41" s="2358"/>
      <c r="W41" s="2360"/>
      <c r="X41" s="1438" t="s">
        <v>460</v>
      </c>
      <c r="Y41" s="1438" t="s">
        <v>461</v>
      </c>
      <c r="Z41" s="1399" t="s">
        <v>462</v>
      </c>
      <c r="AA41" s="2335" t="s">
        <v>463</v>
      </c>
      <c r="AB41" s="2336"/>
      <c r="AC41" s="2344"/>
      <c r="AD41" s="2358"/>
      <c r="AE41" s="2360"/>
      <c r="AF41" s="1438" t="s">
        <v>460</v>
      </c>
      <c r="AG41" s="1438" t="s">
        <v>461</v>
      </c>
      <c r="AH41" s="1399" t="s">
        <v>462</v>
      </c>
      <c r="AI41" s="2335" t="s">
        <v>463</v>
      </c>
      <c r="AJ41" s="2336"/>
      <c r="AK41" s="2344"/>
      <c r="AL41" s="2347"/>
      <c r="AM41" s="2192"/>
      <c r="AN41" s="576"/>
      <c r="AO41" s="565"/>
      <c r="AP41" s="565"/>
      <c r="AQ41" s="565"/>
      <c r="AR41" s="565"/>
      <c r="AS41" s="647">
        <v>23</v>
      </c>
    </row>
    <row s="4094"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112</v>
      </c>
      <c r="T42" s="1320" t="s">
        <v>113</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213</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213</v>
      </c>
      <c r="B44" s="1428" t="s">
        <v>214</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417</v>
      </c>
      <c r="AO44" s="565"/>
      <c r="AP44" s="565" t="str">
        <f>IF(T44="","",T44)</f>
        <v>Территория действия тарифа</v>
      </c>
      <c r="AQ44" s="565"/>
      <c r="AR44" s="565"/>
      <c r="AS44" s="1220">
        <v>21</v>
      </c>
    </row>
    <row customHeight="1" ht="24">
      <c r="A45" s="1428" t="s">
        <v>213</v>
      </c>
      <c r="B45" s="1428" t="s">
        <v>214</v>
      </c>
      <c r="C45" s="1428" t="s">
        <v>215</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419</v>
      </c>
      <c r="AO45" s="565"/>
      <c r="AP45" s="565" t="str">
        <f>IF(T45="","",T45)</f>
        <v>Наименование системы теплоснабжения </v>
      </c>
      <c r="AQ45" s="565"/>
      <c r="AR45" s="565"/>
      <c r="AS45" s="1220">
        <v>23</v>
      </c>
    </row>
    <row customHeight="1" ht="22.049999999999997">
      <c r="A46" s="1428" t="s">
        <v>213</v>
      </c>
      <c r="B46" s="1428" t="s">
        <v>214</v>
      </c>
      <c r="C46" s="1428" t="s">
        <v>215</v>
      </c>
      <c r="D46" s="1428" t="s">
        <v>216</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420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421</v>
      </c>
      <c r="AO46" s="565"/>
      <c r="AP46" s="565" t="str">
        <f>IF(T46="","",T46)</f>
        <v>Источник тепловой энергии  </v>
      </c>
      <c r="AQ46" s="565"/>
      <c r="AR46" s="565"/>
      <c r="AS46" s="1220">
        <v>21</v>
      </c>
    </row>
    <row customHeight="1" ht="49.5">
      <c r="A47" s="1428" t="s">
        <v>213</v>
      </c>
      <c r="B47" s="1428" t="s">
        <v>214</v>
      </c>
      <c r="C47" s="1428" t="s">
        <v>215</v>
      </c>
      <c r="D47" s="1428" t="s">
        <v>216</v>
      </c>
      <c r="E47" s="2324"/>
      <c r="F47" s="2324"/>
      <c r="G47" s="2324"/>
      <c r="H47" s="2324"/>
      <c r="I47" s="2321" t="str">
        <f>S46&amp;".1"</f>
        <v>....1</v>
      </c>
      <c r="J47" s="1428"/>
      <c r="K47" s="1428"/>
      <c r="L47" s="1429" t="s">
        <v>422</v>
      </c>
      <c r="P47" s="2322">
        <v>1</v>
      </c>
      <c r="Q47" s="1396"/>
      <c r="R47" s="421"/>
      <c r="S47" s="1401" t="str">
        <f>$I47</f>
        <v>....1</v>
      </c>
      <c r="T47" s="350" t="s">
        <v>423</v>
      </c>
      <c r="U47" s="365"/>
      <c r="V47" s="2310"/>
      <c r="W47" s="2311"/>
      <c r="X47" s="2311"/>
      <c r="Y47" s="2311"/>
      <c r="Z47" s="2311"/>
      <c r="AA47" s="2311"/>
      <c r="AB47" s="2311"/>
      <c r="AC47" s="2312"/>
      <c r="AD47" s="2310"/>
      <c r="AE47" s="2311"/>
      <c r="AF47" s="2311"/>
      <c r="AG47" s="2311"/>
      <c r="AH47" s="2311"/>
      <c r="AI47" s="2311"/>
      <c r="AJ47" s="2311"/>
      <c r="AK47" s="2311"/>
      <c r="AL47" s="2312"/>
      <c r="AM47" s="1323" t="s">
        <v>424</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213</v>
      </c>
      <c r="B48" s="1428" t="s">
        <v>214</v>
      </c>
      <c r="C48" s="1428" t="s">
        <v>215</v>
      </c>
      <c r="D48" s="1428" t="s">
        <v>216</v>
      </c>
      <c r="E48" s="2324"/>
      <c r="F48" s="2324"/>
      <c r="G48" s="2324"/>
      <c r="H48" s="2324"/>
      <c r="I48" s="2351"/>
      <c r="J48" s="2321" t="str">
        <f>I47&amp;".1"</f>
        <v>....1.1</v>
      </c>
      <c r="K48" s="1428"/>
      <c r="L48" s="1429" t="s">
        <v>425</v>
      </c>
      <c r="P48" s="2322"/>
      <c r="Q48" s="2322">
        <v>1</v>
      </c>
      <c r="R48" s="422"/>
      <c r="S48" s="1401" t="str">
        <f>$J48</f>
        <v>....1.1</v>
      </c>
      <c r="T48" s="351" t="s">
        <v>426</v>
      </c>
      <c r="U48" s="365"/>
      <c r="V48" s="2310"/>
      <c r="W48" s="2311"/>
      <c r="X48" s="2311"/>
      <c r="Y48" s="2311"/>
      <c r="Z48" s="2311"/>
      <c r="AA48" s="2311"/>
      <c r="AB48" s="2311"/>
      <c r="AC48" s="2312"/>
      <c r="AD48" s="2310"/>
      <c r="AE48" s="2311"/>
      <c r="AF48" s="2311"/>
      <c r="AG48" s="2311"/>
      <c r="AH48" s="2311"/>
      <c r="AI48" s="2311"/>
      <c r="AJ48" s="2311"/>
      <c r="AK48" s="2311"/>
      <c r="AL48" s="2312"/>
      <c r="AM48" s="1323" t="s">
        <v>427</v>
      </c>
      <c r="AO48" s="565"/>
      <c r="AP48" s="565" t="str">
        <f>IF(T48="","",T48)</f>
        <v>Группа потребителей</v>
      </c>
      <c r="AQ48" s="565"/>
      <c r="AR48" s="565"/>
      <c r="AS48" s="1220">
        <v>21</v>
      </c>
    </row>
    <row customHeight="1" ht="22.049999999999997">
      <c r="A49" s="1428" t="s">
        <v>213</v>
      </c>
      <c r="B49" s="1428" t="s">
        <v>214</v>
      </c>
      <c r="C49" s="1428" t="s">
        <v>215</v>
      </c>
      <c r="D49" s="1428" t="s">
        <v>216</v>
      </c>
      <c r="E49" s="2324"/>
      <c r="F49" s="2324"/>
      <c r="G49" s="2324"/>
      <c r="H49" s="2324"/>
      <c r="I49" s="2351"/>
      <c r="J49" s="2351"/>
      <c r="K49" s="2321" t="str">
        <f>J48&amp;".1"</f>
        <v>....1.1.1</v>
      </c>
      <c r="L49" s="1429" t="s">
        <v>428</v>
      </c>
      <c r="P49" s="2322"/>
      <c r="Q49" s="2322"/>
      <c r="R49" s="422">
        <v>1</v>
      </c>
      <c r="S49" s="1401" t="str">
        <f>$K49</f>
        <v>....1.1.1</v>
      </c>
      <c r="T49" s="1412"/>
      <c r="U49" s="365"/>
      <c r="V49" s="390"/>
      <c r="W49" s="816"/>
      <c r="X49" s="390"/>
      <c r="Y49" s="449"/>
      <c r="Z49" s="2330"/>
      <c r="AA49" s="2172" t="s">
        <v>64</v>
      </c>
      <c r="AB49" s="2330"/>
      <c r="AC49" s="2172" t="s">
        <v>64</v>
      </c>
      <c r="AD49" s="390"/>
      <c r="AE49" s="816"/>
      <c r="AF49" s="390"/>
      <c r="AG49" s="449"/>
      <c r="AH49" s="2330"/>
      <c r="AI49" s="2172" t="s">
        <v>64</v>
      </c>
      <c r="AJ49" s="2352"/>
      <c r="AK49" s="2172" t="s">
        <v>64</v>
      </c>
      <c r="AL49" s="1413"/>
      <c r="AM49" s="2318" t="s">
        <v>429</v>
      </c>
      <c r="AN49" s="576">
        <f>STRCHECKDATE(V50:AL50)</f>
      </c>
      <c r="AO49" s="565"/>
      <c r="AP49" s="565" t="str">
        <f>IF(T49="","",T49)</f>
        <v/>
      </c>
      <c r="AQ49" s="565"/>
      <c r="AR49" s="565"/>
      <c r="AS49" s="1220">
        <v>21</v>
      </c>
    </row>
    <row customHeight="1" ht="1.05">
      <c r="A50" s="1428" t="s">
        <v>213</v>
      </c>
      <c r="B50" s="1428" t="s">
        <v>214</v>
      </c>
      <c r="C50" s="1428" t="s">
        <v>215</v>
      </c>
      <c r="D50" s="1428" t="s">
        <v>216</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213</v>
      </c>
      <c r="B51" s="1428" t="s">
        <v>214</v>
      </c>
      <c r="C51" s="1428" t="s">
        <v>215</v>
      </c>
      <c r="D51" s="1428" t="s">
        <v>216</v>
      </c>
      <c r="E51" s="2324"/>
      <c r="F51" s="2324"/>
      <c r="G51" s="2324"/>
      <c r="H51" s="2324"/>
      <c r="I51" s="2351"/>
      <c r="J51" s="2321"/>
      <c r="K51" s="1428"/>
      <c r="L51" s="1429"/>
      <c r="P51" s="2322"/>
      <c r="Q51" s="2322"/>
      <c r="R51" s="421"/>
      <c r="S51" s="1343"/>
      <c r="T51" s="353" t="s">
        <v>430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213</v>
      </c>
      <c r="B52" s="1428" t="s">
        <v>214</v>
      </c>
      <c r="C52" s="1428" t="s">
        <v>215</v>
      </c>
      <c r="D52" s="1428" t="s">
        <v>216</v>
      </c>
      <c r="E52" s="2324"/>
      <c r="F52" s="2324"/>
      <c r="G52" s="2324"/>
      <c r="H52" s="2324"/>
      <c r="I52" s="2321"/>
      <c r="J52" s="1428"/>
      <c r="K52" s="1428"/>
      <c r="L52" s="1429"/>
      <c r="P52" s="2322"/>
      <c r="Q52" s="1396"/>
      <c r="R52" s="421"/>
      <c r="S52" s="1343"/>
      <c r="T52" s="352" t="s">
        <v>431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213</v>
      </c>
      <c r="B53" s="1428" t="s">
        <v>214</v>
      </c>
      <c r="C53" s="1428" t="s">
        <v>215</v>
      </c>
      <c r="D53" s="1428" t="s">
        <v>216</v>
      </c>
      <c r="E53" s="2324"/>
      <c r="F53" s="2324"/>
      <c r="G53" s="2324"/>
      <c r="H53" s="2323"/>
      <c r="I53" s="1428"/>
      <c r="J53" s="1428"/>
      <c r="K53" s="1428"/>
      <c r="L53" s="1429"/>
      <c r="M53" s="1430"/>
      <c r="N53" s="1430"/>
      <c r="O53" s="602"/>
      <c r="P53" s="425"/>
      <c r="Q53" s="440"/>
      <c r="R53" s="420"/>
      <c r="S53" s="1343"/>
      <c r="T53" s="430" t="s">
        <v>432</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423" customFormat="1" customHeight="1" ht="1.05">
      <c r="A54" s="1408" t="s">
        <v>213</v>
      </c>
      <c r="B54" s="1408" t="s">
        <v>214</v>
      </c>
      <c r="C54" s="1408" t="s">
        <v>215</v>
      </c>
      <c r="D54" s="1379"/>
      <c r="E54" s="2324"/>
      <c r="F54" s="2324"/>
      <c r="G54" s="2323"/>
      <c r="H54" s="1379"/>
      <c r="I54" s="1379"/>
      <c r="J54" s="1379"/>
      <c r="K54" s="1379"/>
      <c r="L54" s="1404"/>
      <c r="M54" s="1380"/>
      <c r="N54" s="1380"/>
      <c r="P54" s="1381"/>
      <c r="Q54" s="1382"/>
      <c r="R54" s="1381"/>
      <c r="S54" s="1387"/>
      <c r="T54" s="1390" t="s">
        <v>165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423" customFormat="1" customHeight="1" ht="1.05">
      <c r="A55" s="1408" t="s">
        <v>213</v>
      </c>
      <c r="B55" s="1408" t="s">
        <v>214</v>
      </c>
      <c r="C55" s="1379"/>
      <c r="D55" s="1379"/>
      <c r="E55" s="2324"/>
      <c r="F55" s="2323"/>
      <c r="G55" s="1379"/>
      <c r="H55" s="1379"/>
      <c r="I55" s="1379"/>
      <c r="J55" s="1379"/>
      <c r="K55" s="1379"/>
      <c r="L55" s="1404"/>
      <c r="M55" s="1386"/>
      <c r="N55" s="1386"/>
      <c r="P55" s="1381"/>
      <c r="Q55" s="1382"/>
      <c r="R55" s="1381"/>
      <c r="S55" s="1387"/>
      <c r="T55" s="1390" t="s">
        <v>166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423" customFormat="1" customHeight="1" ht="1.05">
      <c r="A56" s="1408" t="s">
        <v>213</v>
      </c>
      <c r="B56" s="1408"/>
      <c r="C56" s="1408"/>
      <c r="D56" s="1408"/>
      <c r="E56" s="2323"/>
      <c r="F56" s="1408"/>
      <c r="G56" s="1408"/>
      <c r="H56" s="1408"/>
      <c r="I56" s="1408"/>
      <c r="J56" s="1408"/>
      <c r="K56" s="1408"/>
      <c r="L56" s="1411"/>
      <c r="M56" s="1386"/>
      <c r="N56" s="1386"/>
      <c r="O56" s="583"/>
      <c r="P56" s="445"/>
      <c r="Q56" s="1409"/>
      <c r="R56" s="445"/>
      <c r="S56" s="1387"/>
      <c r="T56" s="1390" t="s">
        <v>167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423"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85</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A6FF8-A1D6-7237-8E19-6B0AB0D9C64D}" mc:Ignorable="x14ac xr xr2 xr3">
  <sheetPr>
    <tabColor theme="6" tint="0.4"/>
  </sheetPr>
  <dimension ref="A1:BA66"/>
  <sheetViews>
    <sheetView showGridLines="0" zoomScale="90" workbookViewId="0">
      <pane xSplit="29" ySplit="42" topLeftCell="AD43" activePane="bottomRight" state="frozen"/>
      <selection pane="bottomLeft" activeCell="A43" sqref="A43"/>
      <selection pane="topRight" activeCell="AD1" sqref="AD1"/>
      <selection pane="bottomRight" activeCell="AL49" sqref="AL49"/>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2.00390625" hidden="1" customWidth="1"/>
    <col min="10" max="10" style="4903" width="9.8515625" hidden="1" customWidth="1"/>
    <col min="11" max="11" style="4903" width="11.421875" hidden="1" customWidth="1"/>
    <col min="12" max="12" style="5422" width="19.140625" hidden="1" customWidth="1"/>
    <col min="13" max="14" style="4107" width="12.28125" hidden="1" customWidth="1"/>
    <col min="15" max="15" style="4107" width="23.421875" hidden="1" customWidth="1"/>
    <col min="16" max="16" style="5625" width="3.7109375" hidden="1" customWidth="1"/>
    <col min="17" max="18" style="4943" width="3.00390625" customWidth="1"/>
    <col min="19" max="19" style="5599" width="12.00390625" customWidth="1"/>
    <col min="20" max="20" style="4921" width="31.00390625" customWidth="1"/>
    <col min="21" max="21" style="4921" width="0.140625" customWidth="1"/>
    <col min="22" max="22" style="4921" width="24.7109375" hidden="1" customWidth="1"/>
    <col min="23" max="23" style="4921" width="0.140625" hidden="1" customWidth="1"/>
    <col min="24" max="25" style="4921" width="24.710937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24.00390625" customWidth="1"/>
    <col min="31" max="31" style="4921" width="0" customWidth="1"/>
    <col min="32" max="33" style="4921" width="24.00390625" customWidth="1"/>
    <col min="34" max="34" style="4921" width="15.421875" customWidth="1"/>
    <col min="35" max="35" style="4921" width="3.7109375" customWidth="1"/>
    <col min="36" max="36" style="4921" width="15.57421875" customWidth="1"/>
    <col min="37" max="37" style="4921" width="8.57421875" customWidth="1"/>
    <col min="45" max="45" style="127" width="10.57421875" hidden="1"/>
    <col min="46" max="46" style="4921" width="4.00390625" customWidth="1"/>
    <col min="47" max="47" style="4921" width="115.00390625" customWidth="1"/>
    <col min="48" max="52" style="4423" width="10.00390625" customWidth="1"/>
    <col min="53" max="53" style="4921" width="8.421875" hidden="1" customWidth="1"/>
  </cols>
  <sheetData>
    <row customHeight="1" ht="22.5" hidden="1">
      <c r="Y1" s="392"/>
      <c r="Z1" s="392"/>
      <c r="AG1" s="392"/>
      <c r="AH1" s="392"/>
      <c r="AL1" s="4921"/>
      <c r="AM1" s="4921"/>
      <c r="AN1" s="4921"/>
      <c r="AO1" s="4921"/>
      <c r="AP1" s="4921"/>
      <c r="AQ1" s="4921"/>
      <c r="AR1" s="4921"/>
      <c r="AS1" s="5908"/>
      <c r="BA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922"/>
      <c r="AM2" s="4210"/>
      <c r="AN2" s="4210"/>
      <c r="AO2" s="4210"/>
      <c r="AP2" s="4210"/>
      <c r="AQ2" s="4210"/>
      <c r="AR2" s="4210"/>
      <c r="AS2" s="5910"/>
      <c r="AT2" s="2309"/>
      <c r="AU2" s="1323" t="s">
        <v>415</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922"/>
      <c r="AM3" s="4210"/>
      <c r="AN3" s="4210"/>
      <c r="AO3" s="4210"/>
      <c r="AP3" s="4210"/>
      <c r="AQ3" s="4210"/>
      <c r="AR3" s="4210"/>
      <c r="AS3" s="5910"/>
      <c r="AT3" s="2309"/>
      <c r="AU3" s="1323" t="s">
        <v>417</v>
      </c>
      <c r="AW3" s="565"/>
      <c r="AX3" s="565" t="str">
        <f>IF(T3="","",T3)</f>
        <v>Территория действия тарифа</v>
      </c>
      <c r="AY3" s="565"/>
      <c r="AZ3" s="565"/>
      <c r="BA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922"/>
      <c r="AM4" s="4210"/>
      <c r="AN4" s="4210"/>
      <c r="AO4" s="4210"/>
      <c r="AP4" s="4210"/>
      <c r="AQ4" s="4210"/>
      <c r="AR4" s="4210"/>
      <c r="AS4" s="5910"/>
      <c r="AT4" s="2309"/>
      <c r="AU4" s="1323" t="s">
        <v>419</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420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922"/>
      <c r="AM5" s="4210"/>
      <c r="AN5" s="4210"/>
      <c r="AO5" s="4210"/>
      <c r="AP5" s="4210"/>
      <c r="AQ5" s="4210"/>
      <c r="AR5" s="4210"/>
      <c r="AS5" s="5910"/>
      <c r="AT5" s="2309"/>
      <c r="AU5" s="1323" t="s">
        <v>421</v>
      </c>
      <c r="AW5" s="565"/>
      <c r="AX5" s="565" t="str">
        <f>IF(T5="","",T5)</f>
        <v>Источник тепловой энергии  </v>
      </c>
      <c r="AY5" s="565"/>
      <c r="AZ5" s="565"/>
      <c r="BA5" s="1220">
        <v>0</v>
      </c>
    </row>
    <row customHeight="1" ht="14.25" hidden="1">
      <c r="A6" s="1428"/>
      <c r="B6" s="1428"/>
      <c r="C6" s="1428"/>
      <c r="D6" s="1428"/>
      <c r="E6" s="2324"/>
      <c r="F6" s="2324"/>
      <c r="G6" s="2324"/>
      <c r="H6" s="2324"/>
      <c r="I6" s="2321">
        <f>S5&amp;".1"</f>
      </c>
      <c r="J6" s="1428"/>
      <c r="K6" s="1428"/>
      <c r="L6" s="1429" t="s">
        <v>422</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3947"/>
      <c r="AM6" s="4212"/>
      <c r="AN6" s="4212"/>
      <c r="AO6" s="4212"/>
      <c r="AP6" s="4212"/>
      <c r="AQ6" s="4212"/>
      <c r="AR6" s="4212"/>
      <c r="AS6" s="5956"/>
      <c r="AT6" s="2363"/>
      <c r="AU6" s="1450"/>
      <c r="AW6" s="565"/>
      <c r="AX6" s="565" t="str">
        <f>IF(T6="","",T6)</f>
        <v/>
      </c>
      <c r="AY6" s="565"/>
      <c r="AZ6" s="565"/>
      <c r="BA6" s="1220">
        <v>0</v>
      </c>
    </row>
    <row customHeight="1" ht="21" hidden="1">
      <c r="A7" s="1428"/>
      <c r="B7" s="1428"/>
      <c r="C7" s="1428"/>
      <c r="D7" s="1428"/>
      <c r="E7" s="2324"/>
      <c r="F7" s="2324"/>
      <c r="G7" s="2324"/>
      <c r="H7" s="2324"/>
      <c r="I7" s="2351"/>
      <c r="J7" s="2321">
        <f>I6&amp;".1"</f>
      </c>
      <c r="K7" s="1428"/>
      <c r="L7" s="1429" t="s">
        <v>425</v>
      </c>
      <c r="M7" s="602"/>
      <c r="N7" s="1431"/>
      <c r="P7" s="2322"/>
      <c r="Q7" s="2322">
        <v>1</v>
      </c>
      <c r="R7" s="422"/>
      <c r="S7" s="1401">
        <f>$J7</f>
      </c>
      <c r="T7" s="351" t="s">
        <v>426</v>
      </c>
      <c r="U7" s="365"/>
      <c r="V7" s="2310"/>
      <c r="W7" s="2311"/>
      <c r="X7" s="2311"/>
      <c r="Y7" s="2311"/>
      <c r="Z7" s="2311"/>
      <c r="AA7" s="2311"/>
      <c r="AB7" s="2311"/>
      <c r="AC7" s="2312"/>
      <c r="AD7" s="2310"/>
      <c r="AE7" s="2311"/>
      <c r="AF7" s="2311"/>
      <c r="AG7" s="2311"/>
      <c r="AH7" s="2311"/>
      <c r="AI7" s="2311"/>
      <c r="AJ7" s="2311"/>
      <c r="AK7" s="2311"/>
      <c r="AL7" s="5289"/>
      <c r="AM7" s="3956"/>
      <c r="AN7" s="3956"/>
      <c r="AO7" s="3956"/>
      <c r="AP7" s="3956"/>
      <c r="AQ7" s="3956"/>
      <c r="AR7" s="3956"/>
      <c r="AS7" s="5912"/>
      <c r="AT7" s="2312"/>
      <c r="AU7" s="1323" t="s">
        <v>427</v>
      </c>
      <c r="AW7" s="565"/>
      <c r="AX7" s="565" t="str">
        <f>IF(T7="","",T7)</f>
        <v>Группа потребителей</v>
      </c>
      <c r="AY7" s="565"/>
      <c r="AZ7" s="565"/>
      <c r="BA7" s="1220">
        <v>0</v>
      </c>
    </row>
    <row customHeight="1" ht="21" hidden="1">
      <c r="A8" s="1428"/>
      <c r="B8" s="1428"/>
      <c r="C8" s="1428"/>
      <c r="D8" s="1428"/>
      <c r="E8" s="2324"/>
      <c r="F8" s="2324"/>
      <c r="G8" s="2324"/>
      <c r="H8" s="2324"/>
      <c r="I8" s="2351"/>
      <c r="J8" s="2351"/>
      <c r="K8" s="2321">
        <f>J7&amp;".1"</f>
      </c>
      <c r="L8" s="1429" t="s">
        <v>428</v>
      </c>
      <c r="M8" s="602"/>
      <c r="N8" s="1431"/>
      <c r="O8" s="1431"/>
      <c r="P8" s="2322"/>
      <c r="Q8" s="2322"/>
      <c r="R8" s="422">
        <v>1</v>
      </c>
      <c r="S8" s="1401">
        <f>$K8</f>
      </c>
      <c r="T8" s="1412"/>
      <c r="U8" s="365"/>
      <c r="V8" s="816"/>
      <c r="W8" s="390"/>
      <c r="X8" s="816"/>
      <c r="Y8" s="1322"/>
      <c r="Z8" s="2330"/>
      <c r="AA8" s="2172" t="s">
        <v>64</v>
      </c>
      <c r="AB8" s="2330"/>
      <c r="AC8" s="2172" t="s">
        <v>64</v>
      </c>
      <c r="AD8" s="816"/>
      <c r="AE8" s="390"/>
      <c r="AF8" s="816"/>
      <c r="AG8" s="1322"/>
      <c r="AH8" s="2330"/>
      <c r="AI8" s="2172" t="s">
        <v>64</v>
      </c>
      <c r="AJ8" s="2330"/>
      <c r="AK8" s="2172" t="s">
        <v>64</v>
      </c>
      <c r="AL8" s="4296"/>
      <c r="AM8" s="3966"/>
      <c r="AN8" s="4296"/>
      <c r="AO8" s="3965"/>
      <c r="AP8" s="5608"/>
      <c r="AQ8" s="4650" t="s">
        <v>64</v>
      </c>
      <c r="AR8" s="5608"/>
      <c r="AS8" s="4650" t="s">
        <v>64</v>
      </c>
      <c r="AT8" s="390"/>
      <c r="AU8" s="2318" t="s">
        <v>429</v>
      </c>
      <c r="AV8" s="576">
        <f>STRCHECKDATE(V9:AT9)</f>
      </c>
      <c r="AW8" s="565"/>
      <c r="AX8" s="565" t="str">
        <f>IF(T8="","",T8)</f>
        <v/>
      </c>
      <c r="AY8" s="565"/>
      <c r="AZ8" s="565"/>
      <c r="BA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66"/>
      <c r="AM9" s="3966"/>
      <c r="AN9" s="3966"/>
      <c r="AO9" s="3976" t="str">
        <f>AP8&amp;"-"&amp;AR8</f>
        <v>-</v>
      </c>
      <c r="AP9" s="5453"/>
      <c r="AQ9" s="4650"/>
      <c r="AR9" s="5453"/>
      <c r="AS9" s="4650"/>
      <c r="AT9" s="390"/>
      <c r="AU9" s="2319"/>
      <c r="AW9" s="565"/>
      <c r="AX9" s="565" t="str">
        <f>IF(T9="","",T9)</f>
        <v/>
      </c>
      <c r="AY9" s="565"/>
      <c r="AZ9" s="565"/>
      <c r="BA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430</v>
      </c>
      <c r="U10" s="432"/>
      <c r="V10" s="432"/>
      <c r="W10" s="432"/>
      <c r="X10" s="432"/>
      <c r="Y10" s="432"/>
      <c r="Z10" s="432"/>
      <c r="AA10" s="432"/>
      <c r="AB10" s="432"/>
      <c r="AC10" s="432"/>
      <c r="AD10" s="432"/>
      <c r="AE10" s="432"/>
      <c r="AF10" s="432"/>
      <c r="AG10" s="432"/>
      <c r="AH10" s="432"/>
      <c r="AI10" s="432"/>
      <c r="AJ10" s="432"/>
      <c r="AK10" s="432"/>
      <c r="AL10" s="5793"/>
      <c r="AM10" s="5794"/>
      <c r="AN10" s="5795"/>
      <c r="AO10" s="5796"/>
      <c r="AP10" s="5797"/>
      <c r="AQ10" s="5798"/>
      <c r="AR10" s="5799"/>
      <c r="AS10" s="5957"/>
      <c r="AT10" s="389"/>
      <c r="AU10" s="2320"/>
      <c r="AW10" s="565"/>
      <c r="AX10" s="565" t="str">
        <f>IF(T10="","",T10)</f>
        <v>Добавить вид теплоносителя (параметры теплоносителя)</v>
      </c>
      <c r="AY10" s="565"/>
      <c r="AZ10" s="565"/>
      <c r="BA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431</v>
      </c>
      <c r="U11" s="432"/>
      <c r="V11" s="432"/>
      <c r="W11" s="432"/>
      <c r="X11" s="432"/>
      <c r="Y11" s="432"/>
      <c r="Z11" s="432"/>
      <c r="AA11" s="432"/>
      <c r="AB11" s="432"/>
      <c r="AC11" s="431"/>
      <c r="AD11" s="432"/>
      <c r="AE11" s="432"/>
      <c r="AF11" s="432"/>
      <c r="AG11" s="432"/>
      <c r="AH11" s="432"/>
      <c r="AI11" s="432"/>
      <c r="AJ11" s="432"/>
      <c r="AK11" s="431"/>
      <c r="AL11" s="5801"/>
      <c r="AM11" s="5802"/>
      <c r="AN11" s="5803"/>
      <c r="AO11" s="5804"/>
      <c r="AP11" s="5805"/>
      <c r="AQ11" s="5806"/>
      <c r="AR11" s="5807"/>
      <c r="AS11" s="5958"/>
      <c r="AT11" s="432"/>
      <c r="AU11" s="368"/>
      <c r="AW11" s="565"/>
      <c r="AX11" s="565" t="str">
        <f>IF(T11="","",T11)</f>
        <v>Добавить группу потребителей</v>
      </c>
      <c r="AY11" s="565"/>
      <c r="AZ11" s="565"/>
      <c r="BA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4088"/>
      <c r="AM12" s="4088"/>
      <c r="AN12" s="4088"/>
      <c r="AO12" s="4088"/>
      <c r="AP12" s="4088"/>
      <c r="AQ12" s="4088"/>
      <c r="AR12" s="4088"/>
      <c r="AS12" s="5959"/>
      <c r="AT12" s="1453"/>
      <c r="AU12" s="1454"/>
      <c r="AW12" s="565"/>
      <c r="AX12" s="565" t="str">
        <f>IF(T12="","",T12)</f>
        <v/>
      </c>
      <c r="AY12" s="565"/>
      <c r="AZ12" s="565"/>
      <c r="BA12" s="1220">
        <v>0</v>
      </c>
    </row>
    <row s="4423"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165</v>
      </c>
      <c r="U13" s="1385"/>
      <c r="V13" s="1385"/>
      <c r="W13" s="1385"/>
      <c r="X13" s="1385"/>
      <c r="Y13" s="1385"/>
      <c r="Z13" s="1385"/>
      <c r="AA13" s="1385"/>
      <c r="AB13" s="1385"/>
      <c r="AC13" s="1385"/>
      <c r="AD13" s="1385"/>
      <c r="AE13" s="1385"/>
      <c r="AF13" s="1385"/>
      <c r="AG13" s="1385"/>
      <c r="AH13" s="1385"/>
      <c r="AI13" s="1385"/>
      <c r="AJ13" s="1385"/>
      <c r="AK13" s="1385"/>
      <c r="AL13" s="4099"/>
      <c r="AM13" s="4099"/>
      <c r="AN13" s="4099"/>
      <c r="AO13" s="4099"/>
      <c r="AP13" s="4099"/>
      <c r="AQ13" s="4099"/>
      <c r="AR13" s="4099"/>
      <c r="AS13" s="4099"/>
      <c r="AT13" s="1385"/>
      <c r="AU13" s="1385"/>
      <c r="AW13" s="854"/>
      <c r="AX13" s="854" t="str">
        <f>IF(T13="","",T13)</f>
        <v>Добавить источник для дифференциации</v>
      </c>
      <c r="AY13" s="854"/>
      <c r="AZ13" s="854"/>
      <c r="BA13" s="583">
        <v>0</v>
      </c>
    </row>
    <row s="4423"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166</v>
      </c>
      <c r="U14" s="1389"/>
      <c r="V14" s="1389"/>
      <c r="W14" s="1389"/>
      <c r="X14" s="1389"/>
      <c r="Y14" s="1389"/>
      <c r="Z14" s="1389"/>
      <c r="AA14" s="1389"/>
      <c r="AB14" s="1389"/>
      <c r="AC14" s="1389"/>
      <c r="AD14" s="1389"/>
      <c r="AE14" s="1389"/>
      <c r="AF14" s="1389"/>
      <c r="AG14" s="1389"/>
      <c r="AH14" s="1389"/>
      <c r="AI14" s="1389"/>
      <c r="AJ14" s="1389"/>
      <c r="AK14" s="1389"/>
      <c r="AL14" s="4673"/>
      <c r="AM14" s="4673"/>
      <c r="AN14" s="4673"/>
      <c r="AO14" s="4673"/>
      <c r="AP14" s="4673"/>
      <c r="AQ14" s="4673"/>
      <c r="AR14" s="4673"/>
      <c r="AS14" s="4673"/>
      <c r="AT14" s="1389"/>
      <c r="AU14" s="1389"/>
      <c r="AW14" s="854"/>
      <c r="AX14" s="854" t="str">
        <f>IF(T14="","",T14)</f>
        <v>Добавить централизованную систему для дифференциации</v>
      </c>
      <c r="AY14" s="854"/>
      <c r="AZ14" s="854"/>
      <c r="BA14" s="583">
        <v>0</v>
      </c>
    </row>
    <row s="4423"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167</v>
      </c>
      <c r="U15" s="1389"/>
      <c r="V15" s="1389"/>
      <c r="W15" s="1389"/>
      <c r="X15" s="1389"/>
      <c r="Y15" s="1389"/>
      <c r="Z15" s="1389"/>
      <c r="AA15" s="1389"/>
      <c r="AB15" s="1389"/>
      <c r="AC15" s="1389"/>
      <c r="AD15" s="1389"/>
      <c r="AE15" s="1389"/>
      <c r="AF15" s="1389"/>
      <c r="AG15" s="1389"/>
      <c r="AH15" s="1389"/>
      <c r="AI15" s="1389"/>
      <c r="AJ15" s="1389"/>
      <c r="AK15" s="1389"/>
      <c r="AL15" s="4673"/>
      <c r="AM15" s="4673"/>
      <c r="AN15" s="4673"/>
      <c r="AO15" s="4673"/>
      <c r="AP15" s="4673"/>
      <c r="AQ15" s="4673"/>
      <c r="AR15" s="4673"/>
      <c r="AS15" s="4673"/>
      <c r="AT15" s="1389"/>
      <c r="AU15" s="1389"/>
      <c r="AW15" s="854"/>
      <c r="AX15" s="854" t="str">
        <f>IF(T15="","",T15)</f>
        <v>Добавить территорию для дифференциации</v>
      </c>
      <c r="AY15" s="854"/>
      <c r="AZ15" s="854"/>
      <c r="BA15" s="583">
        <v>0</v>
      </c>
    </row>
    <row customHeight="1" ht="14.25" hidden="1">
      <c r="AC16" s="392"/>
      <c r="AK16" s="392"/>
      <c r="AL16" s="4921"/>
      <c r="AM16" s="4921"/>
      <c r="AN16" s="4921"/>
      <c r="AO16" s="4921"/>
      <c r="AP16" s="4921"/>
      <c r="AQ16" s="4921"/>
      <c r="AR16" s="4921"/>
      <c r="AS16" s="5908"/>
      <c r="BA16" s="1220">
        <v>0</v>
      </c>
    </row>
    <row customHeight="1" ht="14.25" hidden="1">
      <c r="AD17" s="1425"/>
      <c r="AE17" s="1425"/>
      <c r="AF17" s="1425"/>
      <c r="AG17" s="1426"/>
      <c r="AH17" s="2332"/>
      <c r="AI17" s="2333" t="s">
        <v>64</v>
      </c>
      <c r="AJ17" s="2332"/>
      <c r="AK17" s="2333" t="s">
        <v>64</v>
      </c>
      <c r="AL17" s="4921"/>
      <c r="AM17" s="4921"/>
      <c r="AN17" s="4921"/>
      <c r="AO17" s="4921"/>
      <c r="AP17" s="4921"/>
      <c r="AQ17" s="4921"/>
      <c r="AR17" s="4921"/>
      <c r="AS17" s="5908"/>
      <c r="BA17" s="1220">
        <v>0</v>
      </c>
    </row>
    <row customHeight="1" ht="14.25" hidden="1">
      <c r="AD18" s="1425"/>
      <c r="AE18" s="1425"/>
      <c r="AF18" s="1425"/>
      <c r="AG18" s="393" t="str">
        <f>AH17&amp;"-"&amp;AJ17</f>
        <v>-</v>
      </c>
      <c r="AH18" s="2333"/>
      <c r="AI18" s="2333"/>
      <c r="AJ18" s="2333"/>
      <c r="AK18" s="2333"/>
      <c r="AL18" s="4921"/>
      <c r="AM18" s="4921"/>
      <c r="AN18" s="4921"/>
      <c r="AO18" s="4921"/>
      <c r="AP18" s="4921"/>
      <c r="AQ18" s="4921"/>
      <c r="AR18" s="4921"/>
      <c r="AS18" s="5908"/>
      <c r="BA18" s="1220">
        <v>0</v>
      </c>
    </row>
    <row customHeight="1" ht="14.25" hidden="1">
      <c r="AK19" s="392"/>
      <c r="AL19" s="4921"/>
      <c r="AM19" s="4921"/>
      <c r="AN19" s="4921"/>
      <c r="AO19" s="4921"/>
      <c r="AP19" s="4921"/>
      <c r="AQ19" s="4921"/>
      <c r="AR19" s="4921"/>
      <c r="AS19" s="5908"/>
      <c r="BA19" s="1220">
        <v>0</v>
      </c>
    </row>
    <row s="4903" customFormat="1" customHeight="1" ht="22.5" hidden="1">
      <c r="L20" s="1394"/>
      <c r="M20" s="1427"/>
      <c r="N20" s="1427"/>
      <c r="O20" s="1432" t="s">
        <v>433</v>
      </c>
      <c r="P20" s="1427"/>
      <c r="Q20" s="1436"/>
      <c r="R20" s="1436"/>
      <c r="S20" s="794"/>
      <c r="Z20" s="1432"/>
      <c r="AB20" s="1432"/>
      <c r="AC20" s="1431"/>
      <c r="AH20" s="1432"/>
      <c r="AJ20" s="1432"/>
      <c r="AK20" s="1431"/>
      <c r="AL20" s="4903"/>
      <c r="AM20" s="4903"/>
      <c r="AN20" s="4903"/>
      <c r="AO20" s="4903"/>
      <c r="AP20" s="3715"/>
      <c r="AQ20" s="4903"/>
      <c r="AR20" s="3715"/>
      <c r="AS20" s="5925"/>
      <c r="AV20" s="576"/>
      <c r="AW20" s="576"/>
      <c r="AX20" s="576"/>
      <c r="AY20" s="576"/>
      <c r="AZ20" s="576"/>
      <c r="BA20" s="1225">
        <v>0</v>
      </c>
    </row>
    <row s="4903" customFormat="1" customHeight="1" ht="14.25" hidden="1">
      <c r="L21" s="1394"/>
      <c r="M21" s="1427"/>
      <c r="N21" s="1427"/>
      <c r="O21" s="1427"/>
      <c r="P21" s="1427"/>
      <c r="Q21" s="1436"/>
      <c r="R21" s="1436"/>
      <c r="S21" s="794"/>
      <c r="AC21" s="1431"/>
      <c r="AK21" s="1431"/>
      <c r="AL21" s="4903"/>
      <c r="AM21" s="4903"/>
      <c r="AN21" s="4903"/>
      <c r="AO21" s="4903"/>
      <c r="AP21" s="4903"/>
      <c r="AQ21" s="4903"/>
      <c r="AR21" s="4903"/>
      <c r="AS21" s="5925"/>
      <c r="AV21" s="576"/>
      <c r="AW21" s="576"/>
      <c r="AX21" s="576"/>
      <c r="AY21" s="576"/>
      <c r="AZ21" s="576"/>
      <c r="BA21" s="1225">
        <v>0</v>
      </c>
    </row>
    <row s="4903" customFormat="1" customHeight="1" ht="14.25" hidden="1">
      <c r="L22" s="1394"/>
      <c r="M22" s="1427"/>
      <c r="N22" s="1427"/>
      <c r="O22" s="1429" t="s">
        <v>434</v>
      </c>
      <c r="P22" s="1427"/>
      <c r="Q22" s="1436"/>
      <c r="R22" s="1436"/>
      <c r="S22" s="794"/>
      <c r="T22" s="1225" t="s">
        <v>435</v>
      </c>
      <c r="AA22" s="251" t="s">
        <v>436</v>
      </c>
      <c r="AC22" s="251" t="s">
        <v>437</v>
      </c>
      <c r="AD22" s="1225" t="s">
        <v>435</v>
      </c>
      <c r="AI22" s="251" t="s">
        <v>438</v>
      </c>
      <c r="AK22" s="251" t="s">
        <v>437</v>
      </c>
      <c r="AL22" s="4903"/>
      <c r="AM22" s="4903"/>
      <c r="AN22" s="4903"/>
      <c r="AO22" s="4903"/>
      <c r="AP22" s="4903"/>
      <c r="AQ22" s="3726" t="s">
        <v>436</v>
      </c>
      <c r="AR22" s="4903"/>
      <c r="AS22" s="5926" t="s">
        <v>437</v>
      </c>
      <c r="AV22" s="576"/>
      <c r="AW22" s="576"/>
      <c r="AX22" s="576"/>
      <c r="AY22" s="576"/>
      <c r="AZ22" s="576"/>
      <c r="BA22" s="1225">
        <v>0</v>
      </c>
    </row>
    <row customHeight="1" ht="14.25" hidden="1">
      <c r="O23" s="1429"/>
      <c r="AL23" s="4921"/>
      <c r="AM23" s="4921"/>
      <c r="AN23" s="4921"/>
      <c r="AO23" s="4921"/>
      <c r="AP23" s="4921"/>
      <c r="AQ23" s="4921"/>
      <c r="AR23" s="4921"/>
      <c r="AS23" s="5908"/>
      <c r="BA23" s="1220">
        <v>0</v>
      </c>
    </row>
    <row customHeight="1" ht="14.25" hidden="1">
      <c r="O24" s="1429"/>
      <c r="AL24" s="4921"/>
      <c r="AM24" s="4921"/>
      <c r="AN24" s="4921"/>
      <c r="AO24" s="4921"/>
      <c r="AP24" s="4921"/>
      <c r="AQ24" s="4921"/>
      <c r="AR24" s="4921"/>
      <c r="AS24" s="5908"/>
      <c r="BA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921"/>
      <c r="AM25" s="4921"/>
      <c r="AN25" s="4921"/>
      <c r="AO25" s="4921"/>
      <c r="AP25" s="4921"/>
      <c r="AQ25" s="4921"/>
      <c r="AR25" s="4921"/>
      <c r="AS25" s="5908"/>
      <c r="BA25" s="1220">
        <v>14</v>
      </c>
    </row>
    <row customHeight="1" ht="63">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L26" s="3722"/>
      <c r="AM26" s="3722"/>
      <c r="AN26" s="3722"/>
      <c r="AO26" s="3722"/>
      <c r="AP26" s="3722"/>
      <c r="AQ26" s="3722"/>
      <c r="AR26" s="3722"/>
      <c r="AS26" s="5927"/>
      <c r="BA26" s="1220">
        <v>60</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L27" s="3724"/>
      <c r="AM27" s="3724"/>
      <c r="AN27" s="3724"/>
      <c r="AO27" s="3724"/>
      <c r="AP27" s="3724"/>
      <c r="AQ27" s="3724"/>
      <c r="AR27" s="3724"/>
      <c r="AS27" s="5928"/>
      <c r="BA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3725"/>
      <c r="AM28" s="3725"/>
      <c r="AN28" s="3725"/>
      <c r="AO28" s="3725"/>
      <c r="AP28" s="3725"/>
      <c r="AQ28" s="3725"/>
      <c r="AR28" s="3725"/>
      <c r="AS28" s="5929"/>
      <c r="AT28" s="574"/>
      <c r="BA28" s="1220">
        <v>0</v>
      </c>
    </row>
    <row s="5485"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5158" t="str">
        <f>IF(TITLE_NAME_OR_PR_CHANGE="",IF(TITLE_NAME_OR_PR="","",TITLE_NAME_OR_PR),TITLE_NAME_OR_PR_CHANGE)</f>
        <v>Региональная тарифная комиссия Ставропольского края</v>
      </c>
      <c r="AM29" s="5158"/>
      <c r="AN29" s="5158"/>
      <c r="AO29" s="5158"/>
      <c r="AP29" s="5158"/>
      <c r="AQ29" s="5158"/>
      <c r="AR29" s="5158"/>
      <c r="AS29" s="5908"/>
      <c r="AT29" s="391"/>
      <c r="AU29" s="345"/>
      <c r="AV29" s="433"/>
      <c r="AW29" s="433"/>
      <c r="AX29" s="433"/>
      <c r="AY29" s="433"/>
      <c r="AZ29" s="433"/>
      <c r="BA29" s="483">
        <v>0</v>
      </c>
    </row>
    <row s="5485" customFormat="1" customHeight="1" ht="18.75">
      <c r="A30" s="1433"/>
      <c r="B30" s="1433"/>
      <c r="C30" s="1433"/>
      <c r="D30" s="1433"/>
      <c r="E30" s="1433"/>
      <c r="F30" s="1433"/>
      <c r="G30" s="1433"/>
      <c r="H30" s="1433"/>
      <c r="I30" s="1433"/>
      <c r="J30" s="1433"/>
      <c r="K30" s="1433"/>
      <c r="L30" s="1434"/>
      <c r="M30" s="1433"/>
      <c r="N30" s="1433"/>
      <c r="O30" s="1433"/>
      <c r="S30" s="2315" t="s">
        <v>439</v>
      </c>
      <c r="T30" s="2315"/>
      <c r="U30" s="1437"/>
      <c r="V30" s="2329" t="str">
        <f>IF(TITLE_DATE_PR_CHANGE="",IF(TITLE_DATE_PR="","",TITLE_DATE_PR),TITLE_DATE_PR_CHANGE)</f>
        <v>45643.434652777774</v>
      </c>
      <c r="W30" s="2329"/>
      <c r="X30" s="2329"/>
      <c r="Y30" s="2329"/>
      <c r="Z30" s="2329"/>
      <c r="AA30" s="2329"/>
      <c r="AB30" s="2329"/>
      <c r="AC30" s="391"/>
      <c r="AD30" s="2329" t="str">
        <f>IF(TITLE_DATE_PR_CHANGE="",IF(TITLE_DATE_PR="","",TITLE_DATE_PR),TITLE_DATE_PR_CHANGE)</f>
        <v>45643.434652777774</v>
      </c>
      <c r="AE30" s="2329"/>
      <c r="AF30" s="2329"/>
      <c r="AG30" s="2329"/>
      <c r="AH30" s="2329"/>
      <c r="AI30" s="2329"/>
      <c r="AJ30" s="2329"/>
      <c r="AK30" s="391"/>
      <c r="AL30" s="3735" t="str">
        <f>IF(TITLE_DATE_PR_CHANGE="",IF(TITLE_DATE_PR="","",TITLE_DATE_PR),TITLE_DATE_PR_CHANGE)</f>
        <v>45643.434652777774</v>
      </c>
      <c r="AM30" s="3735"/>
      <c r="AN30" s="3735"/>
      <c r="AO30" s="3735"/>
      <c r="AP30" s="3735"/>
      <c r="AQ30" s="3735"/>
      <c r="AR30" s="3735"/>
      <c r="AS30" s="5908"/>
      <c r="AT30" s="391"/>
      <c r="AU30" s="345"/>
      <c r="AV30" s="433"/>
      <c r="AW30" s="433"/>
      <c r="AX30" s="433"/>
      <c r="AY30" s="433"/>
      <c r="AZ30" s="433"/>
      <c r="BA30" s="483">
        <v>0</v>
      </c>
    </row>
    <row s="5485" customFormat="1" customHeight="1" ht="18.75">
      <c r="A31" s="1433"/>
      <c r="B31" s="1433"/>
      <c r="C31" s="1433"/>
      <c r="D31" s="1433"/>
      <c r="E31" s="1433"/>
      <c r="F31" s="1433"/>
      <c r="G31" s="1433"/>
      <c r="H31" s="1433"/>
      <c r="I31" s="1433"/>
      <c r="J31" s="1433"/>
      <c r="K31" s="1433"/>
      <c r="L31" s="1434"/>
      <c r="M31" s="1433"/>
      <c r="N31" s="1433"/>
      <c r="O31" s="1433"/>
      <c r="S31" s="2315" t="s">
        <v>440</v>
      </c>
      <c r="T31" s="2315"/>
      <c r="U31" s="1437"/>
      <c r="V31" s="2316" t="str">
        <f>IF(TITLE_NUMBER_PR_CHANGE="",IF(TITLE_NUMBER_PR="","",TITLE_NUMBER_PR),TITLE_NUMBER_PR_CHANGE)</f>
        <v>71/2</v>
      </c>
      <c r="W31" s="2316"/>
      <c r="X31" s="2316"/>
      <c r="Y31" s="2316"/>
      <c r="Z31" s="2316"/>
      <c r="AA31" s="2316"/>
      <c r="AB31" s="2316"/>
      <c r="AC31" s="391"/>
      <c r="AD31" s="2316" t="str">
        <f>IF(TITLE_NUMBER_PR_CHANGE="",IF(TITLE_NUMBER_PR="","",TITLE_NUMBER_PR),TITLE_NUMBER_PR_CHANGE)</f>
        <v>71/2</v>
      </c>
      <c r="AE31" s="2316"/>
      <c r="AF31" s="2316"/>
      <c r="AG31" s="2316"/>
      <c r="AH31" s="2316"/>
      <c r="AI31" s="2316"/>
      <c r="AJ31" s="2316"/>
      <c r="AK31" s="391"/>
      <c r="AL31" s="5158" t="str">
        <f>IF(TITLE_NUMBER_PR_CHANGE="",IF(TITLE_NUMBER_PR="","",TITLE_NUMBER_PR),TITLE_NUMBER_PR_CHANGE)</f>
        <v>71/2</v>
      </c>
      <c r="AM31" s="5158"/>
      <c r="AN31" s="5158"/>
      <c r="AO31" s="5158"/>
      <c r="AP31" s="5158"/>
      <c r="AQ31" s="5158"/>
      <c r="AR31" s="5158"/>
      <c r="AS31" s="5908"/>
      <c r="AT31" s="391"/>
      <c r="AU31" s="345"/>
      <c r="AV31" s="433"/>
      <c r="AW31" s="433"/>
      <c r="AX31" s="433"/>
      <c r="AY31" s="433"/>
      <c r="AZ31" s="433"/>
      <c r="BA31" s="483">
        <v>0</v>
      </c>
    </row>
    <row s="5485"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Официальный интернет-портал правовой информации Ставропольского края</v>
      </c>
      <c r="W32" s="2316"/>
      <c r="X32" s="2316"/>
      <c r="Y32" s="2316"/>
      <c r="Z32" s="2316"/>
      <c r="AA32" s="2316"/>
      <c r="AB32" s="2316"/>
      <c r="AC32" s="391"/>
      <c r="AD32" s="2316" t="str">
        <f>IF(TITLE_IST_PUB_CHANGE="",IF(TITLE_IST_PUB="","",TITLE_IST_PUB),TITLE_IST_PUB_CHANGE)</f>
        <v>Официальный интернет-портал правовой информации Ставропольского края</v>
      </c>
      <c r="AE32" s="2316"/>
      <c r="AF32" s="2316"/>
      <c r="AG32" s="2316"/>
      <c r="AH32" s="2316"/>
      <c r="AI32" s="2316"/>
      <c r="AJ32" s="2316"/>
      <c r="AK32" s="391"/>
      <c r="AL32" s="5158" t="str">
        <f>IF(TITLE_IST_PUB_CHANGE="",IF(TITLE_IST_PUB="","",TITLE_IST_PUB),TITLE_IST_PUB_CHANGE)</f>
        <v>Официальный интернет-портал правовой информации Ставропольского края</v>
      </c>
      <c r="AM32" s="5158"/>
      <c r="AN32" s="5158"/>
      <c r="AO32" s="5158"/>
      <c r="AP32" s="5158"/>
      <c r="AQ32" s="5158"/>
      <c r="AR32" s="5158"/>
      <c r="AS32" s="5908"/>
      <c r="AT32" s="391"/>
      <c r="AU32" s="345"/>
      <c r="AV32" s="433"/>
      <c r="AW32" s="433"/>
      <c r="AX32" s="433"/>
      <c r="AY32" s="433"/>
      <c r="AZ32" s="433"/>
      <c r="BA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3725"/>
      <c r="AM33" s="3725"/>
      <c r="AN33" s="3725"/>
      <c r="AO33" s="3725"/>
      <c r="AP33" s="3725"/>
      <c r="AQ33" s="3725"/>
      <c r="AR33" s="3725"/>
      <c r="AS33" s="5929"/>
      <c r="AT33" s="574"/>
      <c r="BA33" s="1220">
        <v>0</v>
      </c>
    </row>
    <row s="5485" customFormat="1" customHeight="1" ht="18.75" hidden="1">
      <c r="A34" s="1433"/>
      <c r="B34" s="1433"/>
      <c r="C34" s="1433"/>
      <c r="D34" s="1433"/>
      <c r="E34" s="1433"/>
      <c r="F34" s="1433"/>
      <c r="G34" s="1433"/>
      <c r="H34" s="1433"/>
      <c r="I34" s="1433"/>
      <c r="J34" s="1433"/>
      <c r="K34" s="1433"/>
      <c r="L34" s="1434"/>
      <c r="M34" s="1433"/>
      <c r="N34" s="1433"/>
      <c r="O34" s="1433"/>
      <c r="S34" s="2315" t="s">
        <v>441</v>
      </c>
      <c r="T34" s="2315"/>
      <c r="U34" s="1437"/>
      <c r="V34" s="2329" t="str">
        <f>IF(TITLE_DATE_PR_CHANGE="",IF(TITLE_DATE_PR="","",TITLE_DATE_PR),TITLE_DATE_PR_CHANGE)</f>
        <v>45643.434652777774</v>
      </c>
      <c r="W34" s="2329"/>
      <c r="X34" s="2329"/>
      <c r="Y34" s="2329"/>
      <c r="Z34" s="2329"/>
      <c r="AA34" s="2329"/>
      <c r="AB34" s="2329"/>
      <c r="AC34" s="391"/>
      <c r="AD34" s="2329" t="str">
        <f>IF(TITLE_DATE_PR_CHANGE="",IF(TITLE_DATE_PR="","",TITLE_DATE_PR),TITLE_DATE_PR_CHANGE)</f>
        <v>45643.434652777774</v>
      </c>
      <c r="AE34" s="2329"/>
      <c r="AF34" s="2329"/>
      <c r="AG34" s="2329"/>
      <c r="AH34" s="2329"/>
      <c r="AI34" s="2329"/>
      <c r="AJ34" s="2329"/>
      <c r="AK34" s="391"/>
      <c r="AL34" s="3735" t="str">
        <f>IF(TITLE_DATE_PR_CHANGE="",IF(TITLE_DATE_PR="","",TITLE_DATE_PR),TITLE_DATE_PR_CHANGE)</f>
        <v>45643.434652777774</v>
      </c>
      <c r="AM34" s="3735"/>
      <c r="AN34" s="3735"/>
      <c r="AO34" s="3735"/>
      <c r="AP34" s="3735"/>
      <c r="AQ34" s="3735"/>
      <c r="AR34" s="3735"/>
      <c r="AS34" s="5908"/>
      <c r="AT34" s="391"/>
      <c r="AU34" s="345"/>
      <c r="AV34" s="433"/>
      <c r="AW34" s="433"/>
      <c r="AX34" s="433"/>
      <c r="AY34" s="433"/>
      <c r="AZ34" s="433"/>
      <c r="BA34" s="483">
        <v>0</v>
      </c>
    </row>
    <row s="5485" customFormat="1" customHeight="1" ht="18.75" hidden="1">
      <c r="A35" s="1433"/>
      <c r="B35" s="1433"/>
      <c r="C35" s="1433"/>
      <c r="D35" s="1433"/>
      <c r="E35" s="1433"/>
      <c r="F35" s="1433"/>
      <c r="G35" s="1433"/>
      <c r="H35" s="1433"/>
      <c r="I35" s="1433"/>
      <c r="J35" s="1433"/>
      <c r="K35" s="1433"/>
      <c r="L35" s="1434"/>
      <c r="M35" s="1433"/>
      <c r="N35" s="1433"/>
      <c r="O35" s="1433"/>
      <c r="S35" s="2315" t="s">
        <v>442</v>
      </c>
      <c r="T35" s="2315"/>
      <c r="U35" s="1437"/>
      <c r="V35" s="2316" t="str">
        <f>IF(TITLE_NUMBER_PR_CHANGE="",IF(TITLE_NUMBER_PR="","",TITLE_NUMBER_PR),TITLE_NUMBER_PR_CHANGE)</f>
        <v>71/2</v>
      </c>
      <c r="W35" s="2316"/>
      <c r="X35" s="2316"/>
      <c r="Y35" s="2316"/>
      <c r="Z35" s="2316"/>
      <c r="AA35" s="2316"/>
      <c r="AB35" s="2316"/>
      <c r="AC35" s="391"/>
      <c r="AD35" s="2316" t="str">
        <f>IF(TITLE_NUMBER_PR_CHANGE="",IF(TITLE_NUMBER_PR="","",TITLE_NUMBER_PR),TITLE_NUMBER_PR_CHANGE)</f>
        <v>71/2</v>
      </c>
      <c r="AE35" s="2316"/>
      <c r="AF35" s="2316"/>
      <c r="AG35" s="2316"/>
      <c r="AH35" s="2316"/>
      <c r="AI35" s="2316"/>
      <c r="AJ35" s="2316"/>
      <c r="AK35" s="391"/>
      <c r="AL35" s="5158" t="str">
        <f>IF(TITLE_NUMBER_PR_CHANGE="",IF(TITLE_NUMBER_PR="","",TITLE_NUMBER_PR),TITLE_NUMBER_PR_CHANGE)</f>
        <v>71/2</v>
      </c>
      <c r="AM35" s="5158"/>
      <c r="AN35" s="5158"/>
      <c r="AO35" s="5158"/>
      <c r="AP35" s="5158"/>
      <c r="AQ35" s="5158"/>
      <c r="AR35" s="5158"/>
      <c r="AS35" s="5908"/>
      <c r="AT35" s="391"/>
      <c r="AU35" s="345"/>
      <c r="AV35" s="433"/>
      <c r="AW35" s="433"/>
      <c r="AX35" s="433"/>
      <c r="AY35" s="433"/>
      <c r="AZ35" s="433"/>
      <c r="BA35" s="483">
        <v>0</v>
      </c>
    </row>
    <row s="5485"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443</v>
      </c>
      <c r="AD36" s="391"/>
      <c r="AE36" s="391"/>
      <c r="AF36" s="391"/>
      <c r="AG36" s="391"/>
      <c r="AH36" s="391"/>
      <c r="AI36" s="391"/>
      <c r="AJ36" s="391"/>
      <c r="AK36" s="343" t="s">
        <v>443</v>
      </c>
      <c r="AL36" s="4921"/>
      <c r="AM36" s="4921"/>
      <c r="AN36" s="4921"/>
      <c r="AO36" s="4921"/>
      <c r="AP36" s="4921"/>
      <c r="AQ36" s="4921"/>
      <c r="AR36" s="4921"/>
      <c r="AS36" s="5932" t="s">
        <v>443</v>
      </c>
      <c r="AV36" s="433"/>
      <c r="AW36" s="433"/>
      <c r="AX36" s="433"/>
      <c r="AY36" s="433"/>
      <c r="AZ36" s="433"/>
      <c r="BA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4227" t="s">
        <v>193</v>
      </c>
      <c r="AM37" s="4227"/>
      <c r="AN37" s="4227"/>
      <c r="AO37" s="4227"/>
      <c r="AP37" s="4227"/>
      <c r="AQ37" s="4227"/>
      <c r="AR37" s="4227"/>
      <c r="AS37" s="5933"/>
      <c r="BA37" s="1220">
        <v>14</v>
      </c>
    </row>
    <row customHeight="1" ht="15">
      <c r="Q38" s="441"/>
      <c r="R38" s="441"/>
      <c r="S38" s="2192" t="s">
        <v>319</v>
      </c>
      <c r="T38" s="2192"/>
      <c r="U38" s="2192"/>
      <c r="V38" s="2192"/>
      <c r="W38" s="2192"/>
      <c r="X38" s="2192"/>
      <c r="Y38" s="2192"/>
      <c r="Z38" s="2192"/>
      <c r="AA38" s="2192"/>
      <c r="AB38" s="2192"/>
      <c r="AC38" s="2192"/>
      <c r="AD38" s="2192"/>
      <c r="AE38" s="2192"/>
      <c r="AF38" s="2192"/>
      <c r="AG38" s="2192"/>
      <c r="AH38" s="2192"/>
      <c r="AI38" s="2192"/>
      <c r="AJ38" s="2192"/>
      <c r="AK38" s="2192"/>
      <c r="AL38" s="5310" t="s">
        <v>319</v>
      </c>
      <c r="AM38" s="5310"/>
      <c r="AN38" s="5310"/>
      <c r="AO38" s="5310"/>
      <c r="AP38" s="5310"/>
      <c r="AQ38" s="5310"/>
      <c r="AR38" s="5310"/>
      <c r="AS38" s="5934"/>
      <c r="AT38" s="2192"/>
      <c r="AU38" s="2192"/>
      <c r="BA38" s="1220"/>
    </row>
    <row customHeight="1" ht="14.699999999999998">
      <c r="Q39" s="441"/>
      <c r="R39" s="441"/>
      <c r="S39" s="2338" t="s">
        <v>91</v>
      </c>
      <c r="T39" s="2274" t="s">
        <v>444</v>
      </c>
      <c r="U39" s="366"/>
      <c r="V39" s="2339" t="s">
        <v>445</v>
      </c>
      <c r="W39" s="2340"/>
      <c r="X39" s="2340"/>
      <c r="Y39" s="2340"/>
      <c r="Z39" s="2340"/>
      <c r="AA39" s="2340"/>
      <c r="AB39" s="2341"/>
      <c r="AC39" s="2342" t="s">
        <v>446</v>
      </c>
      <c r="AD39" s="2339" t="s">
        <v>445</v>
      </c>
      <c r="AE39" s="2340"/>
      <c r="AF39" s="2340"/>
      <c r="AG39" s="2340"/>
      <c r="AH39" s="2340"/>
      <c r="AI39" s="2340"/>
      <c r="AJ39" s="2341"/>
      <c r="AK39" s="2342" t="s">
        <v>447</v>
      </c>
      <c r="AL39" s="4660" t="s">
        <v>445</v>
      </c>
      <c r="AM39" s="4661"/>
      <c r="AN39" s="4661"/>
      <c r="AO39" s="4661"/>
      <c r="AP39" s="4661"/>
      <c r="AQ39" s="4661"/>
      <c r="AR39" s="4662"/>
      <c r="AS39" s="5936" t="s">
        <v>446</v>
      </c>
      <c r="AT39" s="2345" t="s">
        <v>448</v>
      </c>
      <c r="AU39" s="2192"/>
      <c r="BA39" s="1220">
        <v>14</v>
      </c>
    </row>
    <row customHeight="1" ht="35.699999999999996">
      <c r="Q40" s="441"/>
      <c r="R40" s="441"/>
      <c r="S40" s="2338"/>
      <c r="T40" s="2274"/>
      <c r="U40" s="1096"/>
      <c r="V40" s="2325" t="s">
        <v>449</v>
      </c>
      <c r="W40" s="2348"/>
      <c r="X40" s="2327" t="s">
        <v>451</v>
      </c>
      <c r="Y40" s="2328"/>
      <c r="Z40" s="2327" t="s">
        <v>452</v>
      </c>
      <c r="AA40" s="2334"/>
      <c r="AB40" s="2328"/>
      <c r="AC40" s="2343"/>
      <c r="AD40" s="2325" t="s">
        <v>470</v>
      </c>
      <c r="AE40" s="2348"/>
      <c r="AF40" s="2327" t="s">
        <v>451</v>
      </c>
      <c r="AG40" s="2328"/>
      <c r="AH40" s="2327" t="s">
        <v>452</v>
      </c>
      <c r="AI40" s="2334"/>
      <c r="AJ40" s="2328"/>
      <c r="AK40" s="2343"/>
      <c r="AL40" s="4997" t="s">
        <v>449</v>
      </c>
      <c r="AM40" s="3755"/>
      <c r="AN40" s="5167" t="s">
        <v>451</v>
      </c>
      <c r="AO40" s="4646"/>
      <c r="AP40" s="5167" t="s">
        <v>452</v>
      </c>
      <c r="AQ40" s="5179"/>
      <c r="AR40" s="4646"/>
      <c r="AS40" s="5938"/>
      <c r="AT40" s="2346"/>
      <c r="AU40" s="2192"/>
      <c r="BA40" s="1220">
        <v>34</v>
      </c>
    </row>
    <row customHeight="1" ht="35.699999999999996">
      <c r="A41" s="1435"/>
      <c r="B41" s="1435" t="s">
        <v>138</v>
      </c>
      <c r="C41" s="1435" t="s">
        <v>139</v>
      </c>
      <c r="D41" s="1435" t="s">
        <v>140</v>
      </c>
      <c r="E41" s="1429" t="s">
        <v>453</v>
      </c>
      <c r="F41" s="1429" t="s">
        <v>454</v>
      </c>
      <c r="G41" s="1429" t="s">
        <v>455</v>
      </c>
      <c r="H41" s="1429" t="s">
        <v>456</v>
      </c>
      <c r="I41" s="1429" t="s">
        <v>457</v>
      </c>
      <c r="J41" s="1429" t="s">
        <v>458</v>
      </c>
      <c r="K41" s="1429" t="s">
        <v>459</v>
      </c>
      <c r="L41" s="1429" t="s">
        <v>434</v>
      </c>
      <c r="Q41" s="441"/>
      <c r="R41" s="441"/>
      <c r="S41" s="2338"/>
      <c r="T41" s="2274"/>
      <c r="U41" s="367"/>
      <c r="V41" s="2326"/>
      <c r="W41" s="2349"/>
      <c r="X41" s="1287" t="s">
        <v>460</v>
      </c>
      <c r="Y41" s="1287" t="s">
        <v>461</v>
      </c>
      <c r="Z41" s="1403" t="s">
        <v>462</v>
      </c>
      <c r="AA41" s="2335" t="s">
        <v>463</v>
      </c>
      <c r="AB41" s="2336"/>
      <c r="AC41" s="2344"/>
      <c r="AD41" s="2326"/>
      <c r="AE41" s="2349"/>
      <c r="AF41" s="1287" t="s">
        <v>460</v>
      </c>
      <c r="AG41" s="1287" t="s">
        <v>461</v>
      </c>
      <c r="AH41" s="1403" t="s">
        <v>462</v>
      </c>
      <c r="AI41" s="2335" t="s">
        <v>463</v>
      </c>
      <c r="AJ41" s="2336"/>
      <c r="AK41" s="2344"/>
      <c r="AL41" s="5255"/>
      <c r="AM41" s="5256"/>
      <c r="AN41" s="5602" t="s">
        <v>460</v>
      </c>
      <c r="AO41" s="5602" t="s">
        <v>461</v>
      </c>
      <c r="AP41" s="5602" t="s">
        <v>462</v>
      </c>
      <c r="AQ41" s="4520" t="s">
        <v>463</v>
      </c>
      <c r="AR41" s="4957"/>
      <c r="AS41" s="5940"/>
      <c r="AT41" s="2347"/>
      <c r="AU41" s="2192"/>
      <c r="BA41" s="1220">
        <v>34</v>
      </c>
    </row>
    <row s="4094"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112</v>
      </c>
      <c r="T42" s="1320" t="s">
        <v>113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5603">
        <f>OFFSET(AL42,0,-1)+1</f>
        <v>6</v>
      </c>
      <c r="AM42" s="5603"/>
      <c r="AN42" s="5603">
        <f>OFFSET(AN42,0,-1)+1</f>
        <v>1</v>
      </c>
      <c r="AO42" s="5603">
        <f>OFFSET(AO42,0,-1)+1</f>
        <v>2</v>
      </c>
      <c r="AP42" s="5603">
        <f>OFFSET(AP42,0,-1)+1</f>
        <v>3</v>
      </c>
      <c r="AQ42" s="5603">
        <f>OFFSET(AQ42,0,-1)+1</f>
        <v>4</v>
      </c>
      <c r="AR42" s="5603"/>
      <c r="AS42" s="5941">
        <f>OFFSET(AS42,0,-2)+1</f>
        <v>5</v>
      </c>
      <c r="AT42" s="1310">
        <f>OFFSET(AT42,0,-1)</f>
        <v>5</v>
      </c>
      <c r="AU42" s="1400">
        <f>OFFSET(AU42,0,-1)+1</f>
        <v>6</v>
      </c>
      <c r="AV42" s="576"/>
      <c r="AW42" s="576"/>
      <c r="AX42" s="576"/>
      <c r="AY42" s="576"/>
      <c r="AZ42" s="576"/>
      <c r="BA42" s="561">
        <v>0</v>
      </c>
    </row>
    <row customHeight="1" ht="22.049999999999997">
      <c r="A43" s="1428" t="s">
        <v>181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1</v>
      </c>
      <c r="T43" s="363" t="s">
        <v>126</v>
      </c>
      <c r="U43" s="365"/>
      <c r="V43" s="2307"/>
      <c r="W43" s="2308"/>
      <c r="X43" s="2308"/>
      <c r="Y43" s="2308"/>
      <c r="Z43" s="2308"/>
      <c r="AA43" s="2308"/>
      <c r="AB43" s="2308"/>
      <c r="AC43" s="2309"/>
      <c r="AD43" s="2307" t="str">
        <f>INDEX(PT_DIFFERENTIATION_NTAR,MATCH(A43,PT_DIFFERENTIATION_NTAR_ID,0))</f>
        <v>Тариф на теплоноситель, поставляемый потребителям
</v>
      </c>
      <c r="AE43" s="2308"/>
      <c r="AF43" s="2308"/>
      <c r="AG43" s="2308"/>
      <c r="AH43" s="2308"/>
      <c r="AI43" s="2308"/>
      <c r="AJ43" s="2308"/>
      <c r="AK43" s="2308"/>
      <c r="AL43" s="3922"/>
      <c r="AM43" s="4210"/>
      <c r="AN43" s="4210"/>
      <c r="AO43" s="4210"/>
      <c r="AP43" s="4210"/>
      <c r="AQ43" s="4210"/>
      <c r="AR43" s="4210"/>
      <c r="AS43" s="5910"/>
      <c r="AT43" s="2309"/>
      <c r="AU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65"/>
      <c r="AX43" s="565" t="str">
        <f>IF(T43="","",T43)</f>
        <v>Наименование тарифа</v>
      </c>
      <c r="AY43" s="565"/>
      <c r="AZ43" s="565"/>
      <c r="BA43" s="1220">
        <v>21</v>
      </c>
    </row>
    <row customHeight="1" ht="22.049999999999997">
      <c r="A44" s="1428" t="s">
        <v>181</v>
      </c>
      <c r="B44" s="1428" t="s">
        <v>182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1.1</v>
      </c>
      <c r="T44" s="373" t="s">
        <v>416</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3922"/>
      <c r="AM44" s="4210"/>
      <c r="AN44" s="4210"/>
      <c r="AO44" s="4210"/>
      <c r="AP44" s="4210"/>
      <c r="AQ44" s="4210"/>
      <c r="AR44" s="4210"/>
      <c r="AS44" s="5910"/>
      <c r="AT44" s="2309"/>
      <c r="AU44" s="1323" t="s">
        <v>417</v>
      </c>
      <c r="AW44" s="565"/>
      <c r="AX44" s="565" t="str">
        <f>IF(T44="","",T44)</f>
        <v>Территория действия тарифа</v>
      </c>
      <c r="AY44" s="565"/>
      <c r="AZ44" s="565"/>
      <c r="BA44" s="1220">
        <v>21</v>
      </c>
    </row>
    <row customHeight="1" ht="24">
      <c r="A45" s="1428" t="s">
        <v>181</v>
      </c>
      <c r="B45" s="1428" t="s">
        <v>182</v>
      </c>
      <c r="C45" s="1428" t="s">
        <v>183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1.1.1</v>
      </c>
      <c r="T45" s="374" t="s">
        <v>418</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3922"/>
      <c r="AM45" s="4210"/>
      <c r="AN45" s="4210"/>
      <c r="AO45" s="4210"/>
      <c r="AP45" s="4210"/>
      <c r="AQ45" s="4210"/>
      <c r="AR45" s="4210"/>
      <c r="AS45" s="5910"/>
      <c r="AT45" s="2309"/>
      <c r="AU45" s="1323" t="s">
        <v>419</v>
      </c>
      <c r="AW45" s="565"/>
      <c r="AX45" s="565" t="str">
        <f>IF(T45="","",T45)</f>
        <v>Наименование системы теплоснабжения </v>
      </c>
      <c r="AY45" s="565"/>
      <c r="AZ45" s="565"/>
      <c r="BA45" s="1220">
        <v>23</v>
      </c>
    </row>
    <row customHeight="1" ht="22.049999999999997">
      <c r="A46" s="1428" t="s">
        <v>181</v>
      </c>
      <c r="B46" s="1428" t="s">
        <v>182</v>
      </c>
      <c r="C46" s="1428" t="s">
        <v>183</v>
      </c>
      <c r="D46" s="1428" t="s">
        <v>184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1.1.1.1</v>
      </c>
      <c r="T46" s="375" t="s">
        <v>420</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3922"/>
      <c r="AM46" s="4210"/>
      <c r="AN46" s="4210"/>
      <c r="AO46" s="4210"/>
      <c r="AP46" s="4210"/>
      <c r="AQ46" s="4210"/>
      <c r="AR46" s="4210"/>
      <c r="AS46" s="5910"/>
      <c r="AT46" s="2309"/>
      <c r="AU46" s="1323" t="s">
        <v>421</v>
      </c>
      <c r="AW46" s="565"/>
      <c r="AX46" s="565" t="str">
        <f>IF(T46="","",T46)</f>
        <v>Источник тепловой энергии  </v>
      </c>
      <c r="AY46" s="565"/>
      <c r="AZ46" s="565"/>
      <c r="BA46" s="1220">
        <v>21</v>
      </c>
    </row>
    <row s="4423" customFormat="1" customHeight="1" ht="0">
      <c r="A47" s="1408" t="s">
        <v>181</v>
      </c>
      <c r="B47" s="1408" t="s">
        <v>182</v>
      </c>
      <c r="C47" s="1408" t="s">
        <v>183</v>
      </c>
      <c r="D47" s="1408" t="s">
        <v>184</v>
      </c>
      <c r="E47" s="2324"/>
      <c r="F47" s="2324"/>
      <c r="G47" s="2324"/>
      <c r="H47" s="2324"/>
      <c r="I47" s="2321" t="str">
        <f>S46&amp;".1"</f>
        <v>1.1.1.1.1</v>
      </c>
      <c r="J47" s="1408"/>
      <c r="K47" s="1408"/>
      <c r="L47" s="1411" t="s">
        <v>422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3947"/>
      <c r="AM47" s="4212"/>
      <c r="AN47" s="4212"/>
      <c r="AO47" s="4212"/>
      <c r="AP47" s="4212"/>
      <c r="AQ47" s="4212"/>
      <c r="AR47" s="4212"/>
      <c r="AS47" s="5956"/>
      <c r="AT47" s="2363"/>
      <c r="AU47" s="1450"/>
      <c r="AW47" s="565"/>
      <c r="AX47" s="565" t="str">
        <f>IF(T47="","",T47)</f>
        <v/>
      </c>
      <c r="AY47" s="565"/>
      <c r="AZ47" s="565"/>
      <c r="BA47" s="576">
        <v>0</v>
      </c>
    </row>
    <row customHeight="1" ht="22.049999999999997">
      <c r="A48" s="1428" t="s">
        <v>181</v>
      </c>
      <c r="B48" s="1428" t="s">
        <v>182</v>
      </c>
      <c r="C48" s="1428" t="s">
        <v>183</v>
      </c>
      <c r="D48" s="1428" t="s">
        <v>184</v>
      </c>
      <c r="E48" s="2324"/>
      <c r="F48" s="2324"/>
      <c r="G48" s="2324"/>
      <c r="H48" s="2324"/>
      <c r="I48" s="2351"/>
      <c r="J48" s="2321" t="str">
        <f>S46&amp;".1"</f>
        <v>1.1.1.1.1</v>
      </c>
      <c r="K48" s="1428"/>
      <c r="L48" s="1429" t="s">
        <v>425</v>
      </c>
      <c r="P48" s="2322"/>
      <c r="Q48" s="2322">
        <v>1</v>
      </c>
      <c r="R48" s="422"/>
      <c r="S48" s="1401" t="str">
        <f>$J48</f>
        <v>1.1.1.1.1</v>
      </c>
      <c r="T48" s="351" t="s">
        <v>426</v>
      </c>
      <c r="U48" s="365"/>
      <c r="V48" s="2310"/>
      <c r="W48" s="2311"/>
      <c r="X48" s="2311"/>
      <c r="Y48" s="2311"/>
      <c r="Z48" s="2311"/>
      <c r="AA48" s="2311"/>
      <c r="AB48" s="2311"/>
      <c r="AC48" s="2312"/>
      <c r="AD48" s="2310" t="s">
        <v>465</v>
      </c>
      <c r="AE48" s="2311"/>
      <c r="AF48" s="2311"/>
      <c r="AG48" s="2311"/>
      <c r="AH48" s="2311"/>
      <c r="AI48" s="2311"/>
      <c r="AJ48" s="2311"/>
      <c r="AK48" s="2311"/>
      <c r="AL48" s="5289"/>
      <c r="AM48" s="3956"/>
      <c r="AN48" s="3956"/>
      <c r="AO48" s="3956"/>
      <c r="AP48" s="3956"/>
      <c r="AQ48" s="3956"/>
      <c r="AR48" s="3956"/>
      <c r="AS48" s="5912"/>
      <c r="AT48" s="2312"/>
      <c r="AU48" s="1323" t="s">
        <v>427</v>
      </c>
      <c r="AW48" s="565"/>
      <c r="AX48" s="565" t="str">
        <f>IF(T48="","",T48)</f>
        <v>Группа потребителей</v>
      </c>
      <c r="AY48" s="565"/>
      <c r="AZ48" s="565"/>
      <c r="BA48" s="1220">
        <v>21</v>
      </c>
    </row>
    <row customHeight="1" ht="22.049999999999997">
      <c r="A49" s="1428" t="s">
        <v>181</v>
      </c>
      <c r="B49" s="1428" t="s">
        <v>182</v>
      </c>
      <c r="C49" s="1428" t="s">
        <v>183</v>
      </c>
      <c r="D49" s="1428" t="s">
        <v>184</v>
      </c>
      <c r="E49" s="2324"/>
      <c r="F49" s="2324"/>
      <c r="G49" s="2324"/>
      <c r="H49" s="2324"/>
      <c r="I49" s="2351"/>
      <c r="J49" s="2351"/>
      <c r="K49" s="2321" t="str">
        <f>J48&amp;".1"</f>
        <v>1.1.1.1.1.1</v>
      </c>
      <c r="L49" s="1429" t="s">
        <v>428</v>
      </c>
      <c r="P49" s="2322"/>
      <c r="Q49" s="2322"/>
      <c r="R49" s="422">
        <v>1</v>
      </c>
      <c r="S49" s="1401" t="str">
        <f>$K49</f>
        <v>1.1.1.1.1.1</v>
      </c>
      <c r="T49" s="1412" t="s">
        <v>466</v>
      </c>
      <c r="U49" s="365"/>
      <c r="V49" s="816"/>
      <c r="W49" s="390"/>
      <c r="X49" s="816"/>
      <c r="Y49" s="1322"/>
      <c r="Z49" s="2330"/>
      <c r="AA49" s="2172" t="s">
        <v>64</v>
      </c>
      <c r="AB49" s="2330"/>
      <c r="AC49" s="2172" t="s">
        <v>64</v>
      </c>
      <c r="AD49" s="816">
        <v>101.12</v>
      </c>
      <c r="AE49" s="390"/>
      <c r="AF49" s="816"/>
      <c r="AG49" s="1322"/>
      <c r="AH49" s="3779">
        <v>45658.53019675926</v>
      </c>
      <c r="AI49" s="2172" t="s">
        <v>64</v>
      </c>
      <c r="AJ49" s="3830">
        <v>45838.53030092592</v>
      </c>
      <c r="AK49" s="2172" t="s">
        <v>64</v>
      </c>
      <c r="AL49" s="4296">
        <v>117.29</v>
      </c>
      <c r="AM49" s="3966"/>
      <c r="AN49" s="4296"/>
      <c r="AO49" s="3965"/>
      <c r="AP49" s="5608">
        <v>45839.40016203704</v>
      </c>
      <c r="AQ49" s="4650" t="s">
        <v>64</v>
      </c>
      <c r="AR49" s="5608">
        <v>46022.40027777778</v>
      </c>
      <c r="AS49" s="4650" t="s">
        <v>64</v>
      </c>
      <c r="AT49" s="1413"/>
      <c r="AU49" s="2318" t="s">
        <v>471</v>
      </c>
      <c r="AV49" s="576">
        <f>STRCHECKDATE(V50:AT50)</f>
      </c>
      <c r="AW49" s="565"/>
      <c r="AX49" s="565" t="str">
        <f>IF(T49="","",T49)</f>
        <v>вода</v>
      </c>
      <c r="AY49" s="565"/>
      <c r="AZ49" s="565"/>
      <c r="BA49" s="1220">
        <v>21</v>
      </c>
    </row>
    <row customHeight="1" ht="1.05">
      <c r="A50" s="1428" t="s">
        <v>181</v>
      </c>
      <c r="B50" s="1428" t="s">
        <v>182</v>
      </c>
      <c r="C50" s="1428" t="s">
        <v>183</v>
      </c>
      <c r="D50" s="1428" t="s">
        <v>184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45658.53019675926-45838.53030092592</v>
      </c>
      <c r="AH50" s="2331"/>
      <c r="AI50" s="2172"/>
      <c r="AJ50" s="2353"/>
      <c r="AK50" s="2172"/>
      <c r="AL50" s="3966"/>
      <c r="AM50" s="3966"/>
      <c r="AN50" s="3966"/>
      <c r="AO50" s="3976" t="str">
        <f>AP49&amp;"-"&amp;AR49</f>
        <v>45839.40016203704-46022.40027777778</v>
      </c>
      <c r="AP50" s="5453"/>
      <c r="AQ50" s="4650"/>
      <c r="AR50" s="5453"/>
      <c r="AS50" s="4650"/>
      <c r="AT50" s="1414"/>
      <c r="AU50" s="2319"/>
      <c r="AW50" s="565"/>
      <c r="AX50" s="565" t="str">
        <f>IF(T50="","",T50)</f>
        <v/>
      </c>
      <c r="AY50" s="565"/>
      <c r="AZ50" s="565"/>
      <c r="BA50" s="1220">
        <v>1</v>
      </c>
    </row>
    <row customHeight="1" ht="11.549999999999999">
      <c r="A51" s="1428" t="s">
        <v>181</v>
      </c>
      <c r="B51" s="1428" t="s">
        <v>182</v>
      </c>
      <c r="C51" s="1428" t="s">
        <v>183</v>
      </c>
      <c r="D51" s="1428" t="s">
        <v>184</v>
      </c>
      <c r="E51" s="2324"/>
      <c r="F51" s="2324"/>
      <c r="G51" s="2324"/>
      <c r="H51" s="2324"/>
      <c r="I51" s="2351"/>
      <c r="J51" s="2321"/>
      <c r="K51" s="1428"/>
      <c r="L51" s="1429"/>
      <c r="P51" s="2322"/>
      <c r="Q51" s="2322"/>
      <c r="R51" s="421"/>
      <c r="S51" s="1343"/>
      <c r="T51" s="352" t="s">
        <v>430</v>
      </c>
      <c r="U51" s="432"/>
      <c r="V51" s="432"/>
      <c r="W51" s="432"/>
      <c r="X51" s="432"/>
      <c r="Y51" s="432"/>
      <c r="Z51" s="432"/>
      <c r="AA51" s="432"/>
      <c r="AB51" s="432"/>
      <c r="AC51" s="432"/>
      <c r="AD51" s="432"/>
      <c r="AE51" s="432"/>
      <c r="AF51" s="432"/>
      <c r="AG51" s="432"/>
      <c r="AH51" s="432"/>
      <c r="AI51" s="432"/>
      <c r="AJ51" s="432"/>
      <c r="AK51" s="432"/>
      <c r="AL51" s="5809"/>
      <c r="AM51" s="5810"/>
      <c r="AN51" s="5811"/>
      <c r="AO51" s="5812"/>
      <c r="AP51" s="5813"/>
      <c r="AQ51" s="5814"/>
      <c r="AR51" s="5815"/>
      <c r="AS51" s="5960"/>
      <c r="AT51" s="389"/>
      <c r="AU51" s="2320"/>
      <c r="AW51" s="565"/>
      <c r="AX51" s="565" t="str">
        <f>IF(T51="","",T51)</f>
        <v>Добавить вид теплоносителя (параметры теплоносителя)</v>
      </c>
      <c r="AY51" s="565"/>
      <c r="AZ51" s="565"/>
      <c r="BA51" s="1220">
        <v>11</v>
      </c>
    </row>
    <row customHeight="1" ht="11.549999999999999">
      <c r="A52" s="1428" t="s">
        <v>181</v>
      </c>
      <c r="B52" s="1428" t="s">
        <v>182</v>
      </c>
      <c r="C52" s="1428" t="s">
        <v>183</v>
      </c>
      <c r="D52" s="1428" t="s">
        <v>184</v>
      </c>
      <c r="E52" s="2324"/>
      <c r="F52" s="2324"/>
      <c r="G52" s="2324"/>
      <c r="H52" s="2324"/>
      <c r="I52" s="2321"/>
      <c r="J52" s="1428"/>
      <c r="K52" s="1428"/>
      <c r="L52" s="1429"/>
      <c r="P52" s="2322"/>
      <c r="Q52" s="1396"/>
      <c r="R52" s="421"/>
      <c r="S52" s="1343"/>
      <c r="T52" s="430" t="s">
        <v>431</v>
      </c>
      <c r="U52" s="432"/>
      <c r="V52" s="432"/>
      <c r="W52" s="432"/>
      <c r="X52" s="432"/>
      <c r="Y52" s="432"/>
      <c r="Z52" s="432"/>
      <c r="AA52" s="432"/>
      <c r="AB52" s="432"/>
      <c r="AC52" s="431"/>
      <c r="AD52" s="432"/>
      <c r="AE52" s="432"/>
      <c r="AF52" s="432"/>
      <c r="AG52" s="432"/>
      <c r="AH52" s="432"/>
      <c r="AI52" s="432"/>
      <c r="AJ52" s="432"/>
      <c r="AK52" s="431"/>
      <c r="AL52" s="5817"/>
      <c r="AM52" s="5818"/>
      <c r="AN52" s="5819"/>
      <c r="AO52" s="5820"/>
      <c r="AP52" s="5821"/>
      <c r="AQ52" s="5822"/>
      <c r="AR52" s="5823"/>
      <c r="AS52" s="5961"/>
      <c r="AT52" s="432"/>
      <c r="AU52" s="368"/>
      <c r="AW52" s="565"/>
      <c r="AX52" s="565" t="str">
        <f>IF(T52="","",T52)</f>
        <v>Добавить группу потребителей</v>
      </c>
      <c r="AY52" s="565"/>
      <c r="AZ52" s="565"/>
      <c r="BA52" s="1220">
        <v>11</v>
      </c>
    </row>
    <row customHeight="1" ht="0">
      <c r="A53" s="1428" t="s">
        <v>181</v>
      </c>
      <c r="B53" s="1428" t="s">
        <v>182</v>
      </c>
      <c r="C53" s="1428" t="s">
        <v>183</v>
      </c>
      <c r="D53" s="1428" t="s">
        <v>184</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4088"/>
      <c r="AM53" s="4088"/>
      <c r="AN53" s="4088"/>
      <c r="AO53" s="4088"/>
      <c r="AP53" s="4088"/>
      <c r="AQ53" s="4088"/>
      <c r="AR53" s="4088"/>
      <c r="AS53" s="5959"/>
      <c r="AT53" s="1453"/>
      <c r="AU53" s="1454"/>
      <c r="AW53" s="565"/>
      <c r="AX53" s="565" t="str">
        <f>IF(T53="","",T53)</f>
        <v/>
      </c>
      <c r="AY53" s="565"/>
      <c r="AZ53" s="565"/>
      <c r="BA53" s="1220">
        <v>0</v>
      </c>
    </row>
    <row s="4423" customFormat="1" customHeight="1" ht="1.05">
      <c r="A54" s="1408" t="s">
        <v>181</v>
      </c>
      <c r="B54" s="1408" t="s">
        <v>182</v>
      </c>
      <c r="C54" s="1408" t="s">
        <v>183</v>
      </c>
      <c r="D54" s="1379"/>
      <c r="E54" s="2324"/>
      <c r="F54" s="2324"/>
      <c r="G54" s="2323"/>
      <c r="H54" s="1379"/>
      <c r="I54" s="1379"/>
      <c r="J54" s="1379"/>
      <c r="K54" s="1379"/>
      <c r="L54" s="1404"/>
      <c r="M54" s="1380"/>
      <c r="N54" s="1380"/>
      <c r="P54" s="1381"/>
      <c r="Q54" s="1382"/>
      <c r="R54" s="1381"/>
      <c r="S54" s="1387"/>
      <c r="T54" s="1390" t="s">
        <v>165</v>
      </c>
      <c r="U54" s="1389"/>
      <c r="V54" s="1389"/>
      <c r="W54" s="1389"/>
      <c r="X54" s="1389"/>
      <c r="Y54" s="1389"/>
      <c r="Z54" s="1389"/>
      <c r="AA54" s="1389"/>
      <c r="AB54" s="1389"/>
      <c r="AC54" s="1389"/>
      <c r="AD54" s="1389"/>
      <c r="AE54" s="1389"/>
      <c r="AF54" s="1389"/>
      <c r="AG54" s="1389"/>
      <c r="AH54" s="1389"/>
      <c r="AI54" s="1389"/>
      <c r="AJ54" s="1389"/>
      <c r="AK54" s="1389"/>
      <c r="AL54" s="4673"/>
      <c r="AM54" s="4673"/>
      <c r="AN54" s="4673"/>
      <c r="AO54" s="4673"/>
      <c r="AP54" s="4673"/>
      <c r="AQ54" s="4673"/>
      <c r="AR54" s="4673"/>
      <c r="AS54" s="4673"/>
      <c r="AT54" s="1389"/>
      <c r="AU54" s="1389"/>
      <c r="AW54" s="854"/>
      <c r="AX54" s="854" t="str">
        <f>IF(T54="","",T54)</f>
        <v>Добавить источник для дифференциации</v>
      </c>
      <c r="AY54" s="854"/>
      <c r="AZ54" s="854"/>
      <c r="BA54" s="583">
        <v>1</v>
      </c>
    </row>
    <row s="4423" customFormat="1" customHeight="1" ht="1.05">
      <c r="A55" s="1408" t="s">
        <v>181</v>
      </c>
      <c r="B55" s="1408" t="s">
        <v>182</v>
      </c>
      <c r="C55" s="1379"/>
      <c r="D55" s="1379"/>
      <c r="E55" s="2324"/>
      <c r="F55" s="2323"/>
      <c r="G55" s="1379"/>
      <c r="H55" s="1379"/>
      <c r="I55" s="1379"/>
      <c r="J55" s="1379"/>
      <c r="K55" s="1379"/>
      <c r="L55" s="1404"/>
      <c r="M55" s="1386"/>
      <c r="N55" s="1386"/>
      <c r="P55" s="1381"/>
      <c r="Q55" s="1382"/>
      <c r="R55" s="1381"/>
      <c r="S55" s="1387"/>
      <c r="T55" s="1390" t="s">
        <v>166</v>
      </c>
      <c r="U55" s="1389"/>
      <c r="V55" s="1389"/>
      <c r="W55" s="1389"/>
      <c r="X55" s="1389"/>
      <c r="Y55" s="1389"/>
      <c r="Z55" s="1389"/>
      <c r="AA55" s="1389"/>
      <c r="AB55" s="1389"/>
      <c r="AC55" s="1389"/>
      <c r="AD55" s="1389"/>
      <c r="AE55" s="1389"/>
      <c r="AF55" s="1389"/>
      <c r="AG55" s="1389"/>
      <c r="AH55" s="1389"/>
      <c r="AI55" s="1389"/>
      <c r="AJ55" s="1389"/>
      <c r="AK55" s="1389"/>
      <c r="AL55" s="4673"/>
      <c r="AM55" s="4673"/>
      <c r="AN55" s="4673"/>
      <c r="AO55" s="4673"/>
      <c r="AP55" s="4673"/>
      <c r="AQ55" s="4673"/>
      <c r="AR55" s="4673"/>
      <c r="AS55" s="4673"/>
      <c r="AT55" s="1389"/>
      <c r="AU55" s="1389"/>
      <c r="AW55" s="854"/>
      <c r="AX55" s="854" t="str">
        <f>IF(T55="","",T55)</f>
        <v>Добавить централизованную систему для дифференциации</v>
      </c>
      <c r="AY55" s="854"/>
      <c r="AZ55" s="854"/>
      <c r="BA55" s="583">
        <v>1</v>
      </c>
    </row>
    <row s="4423" customFormat="1" customHeight="1" ht="1.05">
      <c r="A56" s="1408" t="s">
        <v>181</v>
      </c>
      <c r="B56" s="1408"/>
      <c r="C56" s="1408"/>
      <c r="D56" s="1408"/>
      <c r="E56" s="2323"/>
      <c r="F56" s="1408"/>
      <c r="G56" s="1408"/>
      <c r="H56" s="1408"/>
      <c r="I56" s="1408"/>
      <c r="J56" s="1408"/>
      <c r="K56" s="1408"/>
      <c r="L56" s="1411"/>
      <c r="M56" s="1386"/>
      <c r="N56" s="1386"/>
      <c r="O56" s="583"/>
      <c r="P56" s="445"/>
      <c r="Q56" s="1409"/>
      <c r="R56" s="445"/>
      <c r="S56" s="1387"/>
      <c r="T56" s="1390" t="s">
        <v>167</v>
      </c>
      <c r="U56" s="1389"/>
      <c r="V56" s="1389"/>
      <c r="W56" s="1389"/>
      <c r="X56" s="1389"/>
      <c r="Y56" s="1389"/>
      <c r="Z56" s="1389"/>
      <c r="AA56" s="1389"/>
      <c r="AB56" s="1389"/>
      <c r="AC56" s="1389"/>
      <c r="AD56" s="1389"/>
      <c r="AE56" s="1389"/>
      <c r="AF56" s="1389"/>
      <c r="AG56" s="1389"/>
      <c r="AH56" s="1389"/>
      <c r="AI56" s="1389"/>
      <c r="AJ56" s="1389"/>
      <c r="AK56" s="1389"/>
      <c r="AL56" s="4673"/>
      <c r="AM56" s="4673"/>
      <c r="AN56" s="4673"/>
      <c r="AO56" s="4673"/>
      <c r="AP56" s="4673"/>
      <c r="AQ56" s="4673"/>
      <c r="AR56" s="4673"/>
      <c r="AS56" s="4673"/>
      <c r="AT56" s="1389"/>
      <c r="AU56" s="1389"/>
      <c r="AW56" s="565"/>
      <c r="AX56" s="565" t="str">
        <f>IF(T56="","",T56)</f>
        <v>Добавить территорию для дифференциации</v>
      </c>
      <c r="AY56" s="565"/>
      <c r="AZ56" s="565"/>
      <c r="BA56" s="576">
        <v>1</v>
      </c>
    </row>
    <row s="4423"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168</v>
      </c>
      <c r="U57" s="1389"/>
      <c r="V57" s="1389"/>
      <c r="W57" s="1389"/>
      <c r="X57" s="1389"/>
      <c r="Y57" s="1389"/>
      <c r="Z57" s="1389"/>
      <c r="AA57" s="1389"/>
      <c r="AB57" s="1389"/>
      <c r="AC57" s="1389"/>
      <c r="AD57" s="1389"/>
      <c r="AE57" s="1389"/>
      <c r="AF57" s="1389"/>
      <c r="AG57" s="1389"/>
      <c r="AH57" s="1389"/>
      <c r="AI57" s="1389"/>
      <c r="AJ57" s="1389"/>
      <c r="AK57" s="1389"/>
      <c r="AL57" s="4673"/>
      <c r="AM57" s="4673"/>
      <c r="AN57" s="4673"/>
      <c r="AO57" s="4673"/>
      <c r="AP57" s="4673"/>
      <c r="AQ57" s="4673"/>
      <c r="AR57" s="4673"/>
      <c r="AS57" s="4673"/>
      <c r="AT57" s="1389"/>
      <c r="AU57" s="1389"/>
      <c r="AW57" s="854"/>
      <c r="AX57" s="854" t="str">
        <f>IF(T57="","",T57)</f>
        <v>Добавить наименование тарифа</v>
      </c>
      <c r="AY57" s="854"/>
      <c r="AZ57" s="854"/>
      <c r="BA57" s="583">
        <v>1</v>
      </c>
    </row>
    <row customHeight="1" ht="11.549999999999999">
      <c r="M58" s="1225"/>
      <c r="N58" s="1225"/>
      <c r="O58" s="602"/>
      <c r="P58" s="1220"/>
      <c r="Q58" s="1220"/>
      <c r="R58" s="1220"/>
      <c r="S58" s="1220"/>
      <c r="AL58" s="4921"/>
      <c r="AM58" s="4921"/>
      <c r="AN58" s="4921"/>
      <c r="AO58" s="4921"/>
      <c r="AP58" s="4921"/>
      <c r="AQ58" s="4921"/>
      <c r="AR58" s="4921"/>
      <c r="AS58" s="5908"/>
      <c r="AV58" s="1220"/>
      <c r="AW58" s="1220"/>
      <c r="AX58" s="1220"/>
      <c r="AY58" s="1220"/>
      <c r="AZ58" s="1220"/>
      <c r="BA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624"/>
      <c r="AM59" s="5624"/>
      <c r="AN59" s="5624"/>
      <c r="AO59" s="5624"/>
      <c r="AP59" s="5624"/>
      <c r="AQ59" s="5624"/>
      <c r="AR59" s="5624"/>
      <c r="AS59" s="5948"/>
      <c r="AT59" s="2350"/>
      <c r="AU59" s="2350"/>
      <c r="BA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5624"/>
      <c r="AM60" s="5624"/>
      <c r="AN60" s="5624"/>
      <c r="AO60" s="5624"/>
      <c r="AP60" s="5624"/>
      <c r="AQ60" s="5624"/>
      <c r="AR60" s="5624"/>
      <c r="AS60" s="5948"/>
      <c r="AT60" s="2350"/>
      <c r="AU60" s="2350"/>
      <c r="BA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5624"/>
      <c r="AM61" s="5624"/>
      <c r="AN61" s="5624"/>
      <c r="AO61" s="5624"/>
      <c r="AP61" s="5624"/>
      <c r="AQ61" s="5624"/>
      <c r="AR61" s="5624"/>
      <c r="AS61" s="5948"/>
      <c r="AT61" s="2350"/>
      <c r="AU61" s="2350"/>
      <c r="BA61" s="1220">
        <v>40</v>
      </c>
    </row>
    <row customHeight="1" ht="14.699999999999998">
      <c r="O62" s="602"/>
      <c r="AL62" s="4921"/>
      <c r="AM62" s="4921"/>
      <c r="AN62" s="4921"/>
      <c r="AO62" s="4921"/>
      <c r="AP62" s="4921"/>
      <c r="AQ62" s="4921"/>
      <c r="AR62" s="4921"/>
      <c r="AS62" s="5908"/>
      <c r="BA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5624"/>
      <c r="AM63" s="5624"/>
      <c r="AN63" s="5624"/>
      <c r="AO63" s="5624"/>
      <c r="AP63" s="5624"/>
      <c r="AQ63" s="5624"/>
      <c r="AR63" s="5624"/>
      <c r="AS63" s="5948"/>
      <c r="AT63" s="2350"/>
      <c r="AU63" s="2350"/>
      <c r="BA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5624"/>
      <c r="AM64" s="5624"/>
      <c r="AN64" s="5624"/>
      <c r="AO64" s="5624"/>
      <c r="AP64" s="5624"/>
      <c r="AQ64" s="5624"/>
      <c r="AR64" s="5624"/>
      <c r="AS64" s="5948"/>
      <c r="AT64" s="2350"/>
      <c r="AU64" s="2350"/>
      <c r="BA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5624"/>
      <c r="AM65" s="5624"/>
      <c r="AN65" s="5624"/>
      <c r="AO65" s="5624"/>
      <c r="AP65" s="5624"/>
      <c r="AQ65" s="5624"/>
      <c r="AR65" s="5624"/>
      <c r="AS65" s="5948"/>
      <c r="AT65" s="2350"/>
      <c r="AU65" s="2350"/>
      <c r="BA65" s="1220">
        <v>34</v>
      </c>
    </row>
    <row customHeight="1" ht="22.5" hidden="1">
      <c r="A66" s="1225" t="s">
        <v>85</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4921">
        <v>0</v>
      </c>
      <c r="AM66" s="4921">
        <v>0</v>
      </c>
      <c r="AN66" s="4921">
        <v>0</v>
      </c>
      <c r="AO66" s="4921">
        <v>0</v>
      </c>
      <c r="AP66" s="4921">
        <v>0</v>
      </c>
      <c r="AQ66" s="4921">
        <v>0</v>
      </c>
      <c r="AR66" s="4921">
        <v>0</v>
      </c>
      <c r="AS66" s="5908">
        <v>0</v>
      </c>
      <c r="AT66" s="1220">
        <v>4</v>
      </c>
      <c r="AU66" s="1220">
        <v>115</v>
      </c>
      <c r="AV66" s="576">
        <v>10</v>
      </c>
      <c r="AW66" s="576">
        <v>10</v>
      </c>
      <c r="AX66" s="576">
        <v>10</v>
      </c>
      <c r="AY66" s="576">
        <v>10</v>
      </c>
      <c r="AZ66" s="576">
        <v>10</v>
      </c>
      <c r="BA66" s="1220">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35A39-2E4B-76BE-2CB3-1A3348DF78F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2.00390625" hidden="1" customWidth="1"/>
    <col min="10" max="10" style="4903" width="9.8515625" hidden="1" customWidth="1"/>
    <col min="11" max="11" style="4903" width="11.421875" hidden="1" customWidth="1"/>
    <col min="12" max="12" style="5422" width="19.140625" hidden="1" customWidth="1"/>
    <col min="13" max="14" style="4107" width="12.28125" hidden="1" customWidth="1"/>
    <col min="15" max="15" style="4107" width="23.421875" hidden="1" customWidth="1"/>
    <col min="16" max="16" style="5625" width="3.7109375" hidden="1" customWidth="1"/>
    <col min="17" max="18" style="4943" width="3.00390625" customWidth="1"/>
    <col min="19" max="19" style="5599" width="12.00390625" customWidth="1"/>
    <col min="20" max="20" style="4921" width="31.00390625" customWidth="1"/>
    <col min="21" max="21" style="4921" width="0.140625" customWidth="1"/>
    <col min="22" max="22" style="4921" width="24.7109375" hidden="1" customWidth="1"/>
    <col min="23" max="23" style="4921" width="0.140625" hidden="1" customWidth="1"/>
    <col min="24" max="25" style="4921" width="24.710937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24.7109375" customWidth="1"/>
    <col min="31" max="31" style="4921" width="0.140625" customWidth="1"/>
    <col min="32" max="33" style="4921" width="24.00390625" customWidth="1"/>
    <col min="34" max="34" style="4921" width="11.00390625" customWidth="1"/>
    <col min="35" max="35" style="4921" width="3.7109375" customWidth="1"/>
    <col min="36" max="36" style="4921" width="11.00390625" customWidth="1"/>
    <col min="37" max="37" style="4921" width="8.57421875" hidden="1" customWidth="1"/>
    <col min="38" max="38" style="4921" width="4.00390625" customWidth="1"/>
    <col min="39" max="39" style="4921" width="115.00390625" customWidth="1"/>
    <col min="40" max="44" style="4423" width="10.00390625" customWidth="1"/>
    <col min="45" max="45" style="4921"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418</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419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420</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421</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422</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425</v>
      </c>
      <c r="M7" s="602"/>
      <c r="N7" s="1431"/>
      <c r="P7" s="2322"/>
      <c r="Q7" s="2322">
        <v>1</v>
      </c>
      <c r="R7" s="1707"/>
      <c r="S7" s="2072">
        <f>$J7</f>
      </c>
      <c r="T7" s="351" t="s">
        <v>426</v>
      </c>
      <c r="U7" s="365"/>
      <c r="V7" s="2370"/>
      <c r="W7" s="2370"/>
      <c r="X7" s="2370"/>
      <c r="Y7" s="2370"/>
      <c r="Z7" s="2370"/>
      <c r="AA7" s="2370"/>
      <c r="AB7" s="2370"/>
      <c r="AC7" s="2370"/>
      <c r="AD7" s="2370"/>
      <c r="AE7" s="2370"/>
      <c r="AF7" s="2370"/>
      <c r="AG7" s="2370"/>
      <c r="AH7" s="2370"/>
      <c r="AI7" s="2370"/>
      <c r="AJ7" s="2370"/>
      <c r="AK7" s="2370"/>
      <c r="AL7" s="2370"/>
      <c r="AM7" s="2075" t="s">
        <v>427</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428</v>
      </c>
      <c r="M8" s="602"/>
      <c r="N8" s="1431"/>
      <c r="O8" s="1431"/>
      <c r="P8" s="2322"/>
      <c r="Q8" s="2322"/>
      <c r="R8" s="422">
        <v>1</v>
      </c>
      <c r="S8" s="2074">
        <f>$K8</f>
      </c>
      <c r="T8" s="2079"/>
      <c r="U8" s="2080"/>
      <c r="V8" s="2081"/>
      <c r="W8" s="1414"/>
      <c r="X8" s="2081"/>
      <c r="Y8" s="2082"/>
      <c r="Z8" s="2371"/>
      <c r="AA8" s="2177" t="s">
        <v>64</v>
      </c>
      <c r="AB8" s="2371"/>
      <c r="AC8" s="2177" t="s">
        <v>64</v>
      </c>
      <c r="AD8" s="2081"/>
      <c r="AE8" s="1414"/>
      <c r="AF8" s="2081"/>
      <c r="AG8" s="2082"/>
      <c r="AH8" s="2371"/>
      <c r="AI8" s="2177" t="s">
        <v>64</v>
      </c>
      <c r="AJ8" s="2371"/>
      <c r="AK8" s="2177" t="s">
        <v>64</v>
      </c>
      <c r="AL8" s="1414"/>
      <c r="AM8" s="2318" t="s">
        <v>429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430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431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423"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165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423"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166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423"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167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64</v>
      </c>
      <c r="AJ17" s="2332"/>
      <c r="AK17" s="2333" t="s">
        <v>64</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903" customFormat="1" customHeight="1" ht="22.5" hidden="1">
      <c r="L20" s="1394"/>
      <c r="M20" s="1427"/>
      <c r="N20" s="1427"/>
      <c r="O20" s="1432" t="s">
        <v>433</v>
      </c>
      <c r="P20" s="1427"/>
      <c r="Q20" s="1436"/>
      <c r="R20" s="1436"/>
      <c r="S20" s="794"/>
      <c r="Z20" s="1432"/>
      <c r="AB20" s="1432"/>
      <c r="AC20" s="1431"/>
      <c r="AH20" s="1432"/>
      <c r="AJ20" s="1432"/>
      <c r="AK20" s="1431"/>
      <c r="AN20" s="576"/>
      <c r="AO20" s="576"/>
      <c r="AP20" s="576"/>
      <c r="AQ20" s="576"/>
      <c r="AR20" s="576"/>
      <c r="AS20" s="1225">
        <v>0</v>
      </c>
    </row>
    <row s="4903" customFormat="1" customHeight="1" ht="14.25" hidden="1">
      <c r="L21" s="1394"/>
      <c r="M21" s="1427"/>
      <c r="N21" s="1427"/>
      <c r="O21" s="1427"/>
      <c r="P21" s="1427"/>
      <c r="Q21" s="1436"/>
      <c r="R21" s="1436"/>
      <c r="S21" s="794"/>
      <c r="AC21" s="1431"/>
      <c r="AK21" s="1431"/>
      <c r="AN21" s="576"/>
      <c r="AO21" s="576"/>
      <c r="AP21" s="576"/>
      <c r="AQ21" s="576"/>
      <c r="AR21" s="576"/>
      <c r="AS21" s="1225">
        <v>0</v>
      </c>
    </row>
    <row s="4903" customFormat="1" customHeight="1" ht="14.25" hidden="1">
      <c r="L22" s="1394"/>
      <c r="M22" s="1427"/>
      <c r="N22" s="1427"/>
      <c r="O22" s="1429" t="s">
        <v>434</v>
      </c>
      <c r="P22" s="1427"/>
      <c r="Q22" s="1436"/>
      <c r="R22" s="1436"/>
      <c r="S22" s="794"/>
      <c r="T22" s="1225" t="s">
        <v>435</v>
      </c>
      <c r="AA22" s="251" t="s">
        <v>436</v>
      </c>
      <c r="AC22" s="251" t="s">
        <v>437</v>
      </c>
      <c r="AD22" s="1225" t="s">
        <v>435</v>
      </c>
      <c r="AI22" s="251" t="s">
        <v>438</v>
      </c>
      <c r="AK22" s="251" t="s">
        <v>437</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485"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485" customFormat="1" customHeight="1" ht="18.75">
      <c r="A30" s="1433"/>
      <c r="B30" s="1433"/>
      <c r="C30" s="1433"/>
      <c r="D30" s="1433"/>
      <c r="E30" s="1433"/>
      <c r="F30" s="1433"/>
      <c r="G30" s="1433"/>
      <c r="H30" s="1433"/>
      <c r="I30" s="1433"/>
      <c r="J30" s="1433"/>
      <c r="K30" s="1433"/>
      <c r="L30" s="1434"/>
      <c r="M30" s="1433"/>
      <c r="N30" s="1433"/>
      <c r="O30" s="1433"/>
      <c r="S30" s="2315" t="s">
        <v>439</v>
      </c>
      <c r="T30" s="2315"/>
      <c r="U30" s="1437"/>
      <c r="V30" s="2329" t="str">
        <f>IF(TITLE_DATE_PR_CHANGE="",IF(TITLE_DATE_PR="","",TITLE_DATE_PR),TITLE_DATE_PR_CHANGE)</f>
        <v>45643.434652777774</v>
      </c>
      <c r="W30" s="2329"/>
      <c r="X30" s="2329"/>
      <c r="Y30" s="2329"/>
      <c r="Z30" s="2329"/>
      <c r="AA30" s="2329"/>
      <c r="AB30" s="2329"/>
      <c r="AC30" s="391"/>
      <c r="AD30" s="2329" t="str">
        <f>IF(TITLE_DATE_PR_CHANGE="",IF(TITLE_DATE_PR="","",TITLE_DATE_PR),TITLE_DATE_PR_CHANGE)</f>
        <v>45643.434652777774</v>
      </c>
      <c r="AE30" s="2329"/>
      <c r="AF30" s="2329"/>
      <c r="AG30" s="2329"/>
      <c r="AH30" s="2329"/>
      <c r="AI30" s="2329"/>
      <c r="AJ30" s="2329"/>
      <c r="AK30" s="391"/>
      <c r="AL30" s="391"/>
      <c r="AM30" s="345"/>
      <c r="AN30" s="433"/>
      <c r="AO30" s="433"/>
      <c r="AP30" s="433"/>
      <c r="AQ30" s="433"/>
      <c r="AR30" s="433"/>
      <c r="AS30" s="483">
        <v>0</v>
      </c>
    </row>
    <row s="5485" customFormat="1" customHeight="1" ht="18.75">
      <c r="A31" s="1433"/>
      <c r="B31" s="1433"/>
      <c r="C31" s="1433"/>
      <c r="D31" s="1433"/>
      <c r="E31" s="1433"/>
      <c r="F31" s="1433"/>
      <c r="G31" s="1433"/>
      <c r="H31" s="1433"/>
      <c r="I31" s="1433"/>
      <c r="J31" s="1433"/>
      <c r="K31" s="1433"/>
      <c r="L31" s="1434"/>
      <c r="M31" s="1433"/>
      <c r="N31" s="1433"/>
      <c r="O31" s="1433"/>
      <c r="S31" s="2315" t="s">
        <v>440</v>
      </c>
      <c r="T31" s="2315"/>
      <c r="U31" s="1437"/>
      <c r="V31" s="2316" t="str">
        <f>IF(TITLE_NUMBER_PR_CHANGE="",IF(TITLE_NUMBER_PR="","",TITLE_NUMBER_PR),TITLE_NUMBER_PR_CHANGE)</f>
        <v>71/2</v>
      </c>
      <c r="W31" s="2316"/>
      <c r="X31" s="2316"/>
      <c r="Y31" s="2316"/>
      <c r="Z31" s="2316"/>
      <c r="AA31" s="2316"/>
      <c r="AB31" s="2316"/>
      <c r="AC31" s="391"/>
      <c r="AD31" s="2316" t="str">
        <f>IF(TITLE_NUMBER_PR_CHANGE="",IF(TITLE_NUMBER_PR="","",TITLE_NUMBER_PR),TITLE_NUMBER_PR_CHANGE)</f>
        <v>71/2</v>
      </c>
      <c r="AE31" s="2316"/>
      <c r="AF31" s="2316"/>
      <c r="AG31" s="2316"/>
      <c r="AH31" s="2316"/>
      <c r="AI31" s="2316"/>
      <c r="AJ31" s="2316"/>
      <c r="AK31" s="391"/>
      <c r="AL31" s="391"/>
      <c r="AM31" s="345"/>
      <c r="AN31" s="433"/>
      <c r="AO31" s="433"/>
      <c r="AP31" s="433"/>
      <c r="AQ31" s="433"/>
      <c r="AR31" s="433"/>
      <c r="AS31" s="483">
        <v>0</v>
      </c>
    </row>
    <row s="5485"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Официальный интернет-портал правовой информации Ставропольского края</v>
      </c>
      <c r="W32" s="2316"/>
      <c r="X32" s="2316"/>
      <c r="Y32" s="2316"/>
      <c r="Z32" s="2316"/>
      <c r="AA32" s="2316"/>
      <c r="AB32" s="2316"/>
      <c r="AC32" s="391"/>
      <c r="AD32" s="2316" t="str">
        <f>IF(TITLE_IST_PUB_CHANGE="",IF(TITLE_IST_PUB="","",TITLE_IST_PUB),TITLE_IST_PUB_CHANGE)</f>
        <v>Официальный интернет-портал правовой информации Ставропольского края</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485" customFormat="1" customHeight="1" ht="18.75" hidden="1">
      <c r="A34" s="1433"/>
      <c r="B34" s="1433"/>
      <c r="C34" s="1433"/>
      <c r="D34" s="1433"/>
      <c r="E34" s="1433"/>
      <c r="F34" s="1433"/>
      <c r="G34" s="1433"/>
      <c r="H34" s="1433"/>
      <c r="I34" s="1433"/>
      <c r="J34" s="1433"/>
      <c r="K34" s="1433"/>
      <c r="L34" s="1434"/>
      <c r="M34" s="1433"/>
      <c r="N34" s="1433"/>
      <c r="O34" s="1433"/>
      <c r="S34" s="2315" t="s">
        <v>441</v>
      </c>
      <c r="T34" s="2315"/>
      <c r="U34" s="1437"/>
      <c r="V34" s="2329" t="str">
        <f>IF(TITLE_DATE_PR_CHANGE="",IF(TITLE_DATE_PR="","",TITLE_DATE_PR),TITLE_DATE_PR_CHANGE)</f>
        <v>45643.434652777774</v>
      </c>
      <c r="W34" s="2329"/>
      <c r="X34" s="2329"/>
      <c r="Y34" s="2329"/>
      <c r="Z34" s="2329"/>
      <c r="AA34" s="2329"/>
      <c r="AB34" s="2329"/>
      <c r="AC34" s="391"/>
      <c r="AD34" s="2329" t="str">
        <f>IF(TITLE_DATE_PR_CHANGE="",IF(TITLE_DATE_PR="","",TITLE_DATE_PR),TITLE_DATE_PR_CHANGE)</f>
        <v>45643.434652777774</v>
      </c>
      <c r="AE34" s="2329"/>
      <c r="AF34" s="2329"/>
      <c r="AG34" s="2329"/>
      <c r="AH34" s="2329"/>
      <c r="AI34" s="2329"/>
      <c r="AJ34" s="2329"/>
      <c r="AK34" s="391"/>
      <c r="AL34" s="391"/>
      <c r="AM34" s="345"/>
      <c r="AN34" s="433"/>
      <c r="AO34" s="433"/>
      <c r="AP34" s="433"/>
      <c r="AQ34" s="433"/>
      <c r="AR34" s="433"/>
      <c r="AS34" s="483">
        <v>0</v>
      </c>
    </row>
    <row s="5485" customFormat="1" customHeight="1" ht="18.75" hidden="1">
      <c r="A35" s="1433"/>
      <c r="B35" s="1433"/>
      <c r="C35" s="1433"/>
      <c r="D35" s="1433"/>
      <c r="E35" s="1433"/>
      <c r="F35" s="1433"/>
      <c r="G35" s="1433"/>
      <c r="H35" s="1433"/>
      <c r="I35" s="1433"/>
      <c r="J35" s="1433"/>
      <c r="K35" s="1433"/>
      <c r="L35" s="1434"/>
      <c r="M35" s="1433"/>
      <c r="N35" s="1433"/>
      <c r="O35" s="1433"/>
      <c r="S35" s="2315" t="s">
        <v>442</v>
      </c>
      <c r="T35" s="2315"/>
      <c r="U35" s="1437"/>
      <c r="V35" s="2316" t="str">
        <f>IF(TITLE_NUMBER_PR_CHANGE="",IF(TITLE_NUMBER_PR="","",TITLE_NUMBER_PR),TITLE_NUMBER_PR_CHANGE)</f>
        <v>71/2</v>
      </c>
      <c r="W35" s="2316"/>
      <c r="X35" s="2316"/>
      <c r="Y35" s="2316"/>
      <c r="Z35" s="2316"/>
      <c r="AA35" s="2316"/>
      <c r="AB35" s="2316"/>
      <c r="AC35" s="391"/>
      <c r="AD35" s="2316" t="str">
        <f>IF(TITLE_NUMBER_PR_CHANGE="",IF(TITLE_NUMBER_PR="","",TITLE_NUMBER_PR),TITLE_NUMBER_PR_CHANGE)</f>
        <v>71/2</v>
      </c>
      <c r="AE35" s="2316"/>
      <c r="AF35" s="2316"/>
      <c r="AG35" s="2316"/>
      <c r="AH35" s="2316"/>
      <c r="AI35" s="2316"/>
      <c r="AJ35" s="2316"/>
      <c r="AK35" s="391"/>
      <c r="AL35" s="391"/>
      <c r="AM35" s="345"/>
      <c r="AN35" s="433"/>
      <c r="AO35" s="433"/>
      <c r="AP35" s="433"/>
      <c r="AQ35" s="433"/>
      <c r="AR35" s="433"/>
      <c r="AS35" s="483">
        <v>0</v>
      </c>
    </row>
    <row s="5485"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443</v>
      </c>
      <c r="AD36" s="391"/>
      <c r="AE36" s="391"/>
      <c r="AF36" s="391"/>
      <c r="AG36" s="391"/>
      <c r="AH36" s="391"/>
      <c r="AI36" s="391"/>
      <c r="AJ36" s="391"/>
      <c r="AK36" s="343" t="s">
        <v>443</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320</v>
      </c>
      <c r="AS38" s="1220">
        <v>14</v>
      </c>
    </row>
    <row customHeight="1" ht="14.699999999999998">
      <c r="Q39" s="441"/>
      <c r="R39" s="441"/>
      <c r="S39" s="2338" t="s">
        <v>91</v>
      </c>
      <c r="T39" s="2274" t="s">
        <v>444</v>
      </c>
      <c r="U39" s="366"/>
      <c r="V39" s="2339" t="s">
        <v>445</v>
      </c>
      <c r="W39" s="2340"/>
      <c r="X39" s="2340"/>
      <c r="Y39" s="2340"/>
      <c r="Z39" s="2340"/>
      <c r="AA39" s="2340"/>
      <c r="AB39" s="2341"/>
      <c r="AC39" s="2342" t="s">
        <v>446</v>
      </c>
      <c r="AD39" s="2339" t="s">
        <v>445</v>
      </c>
      <c r="AE39" s="2340"/>
      <c r="AF39" s="2340"/>
      <c r="AG39" s="2340"/>
      <c r="AH39" s="2340"/>
      <c r="AI39" s="2340"/>
      <c r="AJ39" s="2341"/>
      <c r="AK39" s="2342" t="s">
        <v>447</v>
      </c>
      <c r="AL39" s="2345" t="s">
        <v>448</v>
      </c>
      <c r="AM39" s="2192"/>
      <c r="AS39" s="1220">
        <v>14</v>
      </c>
    </row>
    <row customHeight="1" ht="35.699999999999996">
      <c r="Q40" s="441"/>
      <c r="R40" s="441"/>
      <c r="S40" s="2338"/>
      <c r="T40" s="2274"/>
      <c r="U40" s="1096"/>
      <c r="V40" s="2325" t="s">
        <v>449</v>
      </c>
      <c r="W40" s="2348"/>
      <c r="X40" s="2327" t="s">
        <v>451</v>
      </c>
      <c r="Y40" s="2328"/>
      <c r="Z40" s="2327" t="s">
        <v>452</v>
      </c>
      <c r="AA40" s="2334"/>
      <c r="AB40" s="2328"/>
      <c r="AC40" s="2343"/>
      <c r="AD40" s="2325" t="s">
        <v>470</v>
      </c>
      <c r="AE40" s="2348"/>
      <c r="AF40" s="2327" t="s">
        <v>451</v>
      </c>
      <c r="AG40" s="2328"/>
      <c r="AH40" s="2327" t="s">
        <v>452</v>
      </c>
      <c r="AI40" s="2334"/>
      <c r="AJ40" s="2328"/>
      <c r="AK40" s="2343"/>
      <c r="AL40" s="2346"/>
      <c r="AM40" s="2192"/>
      <c r="AS40" s="1220">
        <v>34</v>
      </c>
    </row>
    <row customHeight="1" ht="35.699999999999996">
      <c r="A41" s="1435"/>
      <c r="B41" s="1435" t="s">
        <v>138</v>
      </c>
      <c r="C41" s="1435" t="s">
        <v>139</v>
      </c>
      <c r="D41" s="1435" t="s">
        <v>140</v>
      </c>
      <c r="E41" s="1429" t="s">
        <v>453</v>
      </c>
      <c r="F41" s="1429" t="s">
        <v>454</v>
      </c>
      <c r="G41" s="1429" t="s">
        <v>455</v>
      </c>
      <c r="H41" s="1429" t="s">
        <v>456</v>
      </c>
      <c r="I41" s="1429" t="s">
        <v>457</v>
      </c>
      <c r="J41" s="1429" t="s">
        <v>458</v>
      </c>
      <c r="K41" s="1429" t="s">
        <v>459</v>
      </c>
      <c r="L41" s="1429" t="s">
        <v>434</v>
      </c>
      <c r="Q41" s="441"/>
      <c r="R41" s="441"/>
      <c r="S41" s="2338"/>
      <c r="T41" s="2274"/>
      <c r="U41" s="367"/>
      <c r="V41" s="2326"/>
      <c r="W41" s="2349"/>
      <c r="X41" s="1287" t="s">
        <v>460</v>
      </c>
      <c r="Y41" s="1287" t="s">
        <v>461</v>
      </c>
      <c r="Z41" s="1403" t="s">
        <v>462</v>
      </c>
      <c r="AA41" s="2335" t="s">
        <v>463</v>
      </c>
      <c r="AB41" s="2336"/>
      <c r="AC41" s="2344"/>
      <c r="AD41" s="2326"/>
      <c r="AE41" s="2349"/>
      <c r="AF41" s="1287" t="s">
        <v>460</v>
      </c>
      <c r="AG41" s="1287" t="s">
        <v>461</v>
      </c>
      <c r="AH41" s="1403" t="s">
        <v>462</v>
      </c>
      <c r="AI41" s="2335" t="s">
        <v>463</v>
      </c>
      <c r="AJ41" s="2336"/>
      <c r="AK41" s="2344"/>
      <c r="AL41" s="2347"/>
      <c r="AM41" s="2192"/>
      <c r="AS41" s="1220">
        <v>34</v>
      </c>
    </row>
    <row s="4094"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112</v>
      </c>
      <c r="T42" s="1320" t="s">
        <v>113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201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201</v>
      </c>
      <c r="B44" s="1428" t="s">
        <v>202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417</v>
      </c>
      <c r="AO44" s="565"/>
      <c r="AP44" s="565" t="str">
        <f>IF(T44="","",T44)</f>
        <v>Территория действия тарифа</v>
      </c>
      <c r="AQ44" s="565"/>
      <c r="AR44" s="565"/>
      <c r="AS44" s="1220">
        <v>21</v>
      </c>
    </row>
    <row customHeight="1" ht="24">
      <c r="A45" s="1428" t="s">
        <v>201</v>
      </c>
      <c r="B45" s="1428" t="s">
        <v>202</v>
      </c>
      <c r="C45" s="1428" t="s">
        <v>203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419</v>
      </c>
      <c r="AO45" s="565"/>
      <c r="AP45" s="565" t="str">
        <f>IF(T45="","",T45)</f>
        <v>Наименование системы теплоснабжения </v>
      </c>
      <c r="AQ45" s="565"/>
      <c r="AR45" s="565"/>
      <c r="AS45" s="1220">
        <v>23</v>
      </c>
    </row>
    <row customHeight="1" ht="22.049999999999997">
      <c r="A46" s="1428" t="s">
        <v>201</v>
      </c>
      <c r="B46" s="1428" t="s">
        <v>202</v>
      </c>
      <c r="C46" s="1428" t="s">
        <v>203</v>
      </c>
      <c r="D46" s="1428" t="s">
        <v>204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420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421</v>
      </c>
      <c r="AO46" s="565"/>
      <c r="AP46" s="565" t="str">
        <f>IF(T46="","",T46)</f>
        <v>Источник тепловой энергии  </v>
      </c>
      <c r="AQ46" s="565"/>
      <c r="AR46" s="565"/>
      <c r="AS46" s="1220">
        <v>21</v>
      </c>
    </row>
    <row s="4423" customFormat="1" customHeight="1" ht="0">
      <c r="A47" s="1408" t="s">
        <v>201</v>
      </c>
      <c r="B47" s="1408" t="s">
        <v>202</v>
      </c>
      <c r="C47" s="1408" t="s">
        <v>203</v>
      </c>
      <c r="D47" s="1408" t="s">
        <v>204</v>
      </c>
      <c r="E47" s="2324"/>
      <c r="F47" s="2324"/>
      <c r="G47" s="2324"/>
      <c r="H47" s="2324"/>
      <c r="I47" s="2321" t="str">
        <f>S46&amp;".1"</f>
        <v>....1</v>
      </c>
      <c r="J47" s="1408"/>
      <c r="K47" s="1408"/>
      <c r="L47" s="1411" t="s">
        <v>422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201</v>
      </c>
      <c r="B48" s="1428" t="s">
        <v>202</v>
      </c>
      <c r="C48" s="1428" t="s">
        <v>203</v>
      </c>
      <c r="D48" s="1428" t="s">
        <v>204</v>
      </c>
      <c r="E48" s="2324"/>
      <c r="F48" s="2324"/>
      <c r="G48" s="2324"/>
      <c r="H48" s="2324"/>
      <c r="I48" s="2351"/>
      <c r="J48" s="2321" t="str">
        <f>S46&amp;".1"</f>
        <v>....1</v>
      </c>
      <c r="K48" s="1428"/>
      <c r="L48" s="1429" t="s">
        <v>425</v>
      </c>
      <c r="P48" s="2322"/>
      <c r="Q48" s="2322">
        <v>1</v>
      </c>
      <c r="R48" s="422"/>
      <c r="S48" s="1401" t="str">
        <f>$J48</f>
        <v>....1</v>
      </c>
      <c r="T48" s="351" t="s">
        <v>426</v>
      </c>
      <c r="U48" s="365"/>
      <c r="V48" s="2310"/>
      <c r="W48" s="2311"/>
      <c r="X48" s="2311"/>
      <c r="Y48" s="2311"/>
      <c r="Z48" s="2311"/>
      <c r="AA48" s="2311"/>
      <c r="AB48" s="2311"/>
      <c r="AC48" s="2312"/>
      <c r="AD48" s="2310"/>
      <c r="AE48" s="2311"/>
      <c r="AF48" s="2311"/>
      <c r="AG48" s="2311"/>
      <c r="AH48" s="2311"/>
      <c r="AI48" s="2311"/>
      <c r="AJ48" s="2311"/>
      <c r="AK48" s="2311"/>
      <c r="AL48" s="2312"/>
      <c r="AM48" s="1323" t="s">
        <v>427</v>
      </c>
      <c r="AO48" s="565"/>
      <c r="AP48" s="565" t="str">
        <f>IF(T48="","",T48)</f>
        <v>Группа потребителей</v>
      </c>
      <c r="AQ48" s="565"/>
      <c r="AR48" s="565"/>
      <c r="AS48" s="1220">
        <v>21</v>
      </c>
    </row>
    <row customHeight="1" ht="22.049999999999997">
      <c r="A49" s="1428" t="s">
        <v>201</v>
      </c>
      <c r="B49" s="1428" t="s">
        <v>202</v>
      </c>
      <c r="C49" s="1428" t="s">
        <v>203</v>
      </c>
      <c r="D49" s="1428" t="s">
        <v>204</v>
      </c>
      <c r="E49" s="2324"/>
      <c r="F49" s="2324"/>
      <c r="G49" s="2324"/>
      <c r="H49" s="2324"/>
      <c r="I49" s="2351"/>
      <c r="J49" s="2351"/>
      <c r="K49" s="2321" t="str">
        <f>J48&amp;".1"</f>
        <v>....1.1</v>
      </c>
      <c r="L49" s="1429" t="s">
        <v>428</v>
      </c>
      <c r="P49" s="2322"/>
      <c r="Q49" s="2322"/>
      <c r="R49" s="422">
        <v>1</v>
      </c>
      <c r="S49" s="1401" t="str">
        <f>$K49</f>
        <v>....1.1</v>
      </c>
      <c r="T49" s="1412"/>
      <c r="U49" s="365"/>
      <c r="V49" s="816"/>
      <c r="W49" s="390"/>
      <c r="X49" s="816"/>
      <c r="Y49" s="1322"/>
      <c r="Z49" s="2330"/>
      <c r="AA49" s="2172" t="s">
        <v>64</v>
      </c>
      <c r="AB49" s="2330"/>
      <c r="AC49" s="2172" t="s">
        <v>64</v>
      </c>
      <c r="AD49" s="816"/>
      <c r="AE49" s="390"/>
      <c r="AF49" s="816"/>
      <c r="AG49" s="1322"/>
      <c r="AH49" s="2330"/>
      <c r="AI49" s="2172" t="s">
        <v>64</v>
      </c>
      <c r="AJ49" s="2352"/>
      <c r="AK49" s="2172" t="s">
        <v>64</v>
      </c>
      <c r="AL49" s="1413"/>
      <c r="AM49" s="2318" t="s">
        <v>471</v>
      </c>
      <c r="AN49" s="576">
        <f>STRCHECKDATE(V50:AL50)</f>
      </c>
      <c r="AO49" s="565"/>
      <c r="AP49" s="565" t="str">
        <f>IF(T49="","",T49)</f>
        <v/>
      </c>
      <c r="AQ49" s="565"/>
      <c r="AR49" s="565"/>
      <c r="AS49" s="1220">
        <v>21</v>
      </c>
    </row>
    <row customHeight="1" ht="1.05">
      <c r="A50" s="1428" t="s">
        <v>201</v>
      </c>
      <c r="B50" s="1428" t="s">
        <v>202</v>
      </c>
      <c r="C50" s="1428" t="s">
        <v>203</v>
      </c>
      <c r="D50" s="1428" t="s">
        <v>204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201</v>
      </c>
      <c r="B51" s="1428" t="s">
        <v>202</v>
      </c>
      <c r="C51" s="1428" t="s">
        <v>203</v>
      </c>
      <c r="D51" s="1428" t="s">
        <v>204</v>
      </c>
      <c r="E51" s="2324"/>
      <c r="F51" s="2324"/>
      <c r="G51" s="2324"/>
      <c r="H51" s="2324"/>
      <c r="I51" s="2351"/>
      <c r="J51" s="2321"/>
      <c r="K51" s="1428"/>
      <c r="L51" s="1429"/>
      <c r="P51" s="2322"/>
      <c r="Q51" s="2322"/>
      <c r="R51" s="421"/>
      <c r="S51" s="1343"/>
      <c r="T51" s="352" t="s">
        <v>430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201</v>
      </c>
      <c r="B52" s="1428" t="s">
        <v>202</v>
      </c>
      <c r="C52" s="1428" t="s">
        <v>203</v>
      </c>
      <c r="D52" s="1428" t="s">
        <v>204</v>
      </c>
      <c r="E52" s="2324"/>
      <c r="F52" s="2324"/>
      <c r="G52" s="2324"/>
      <c r="H52" s="2324"/>
      <c r="I52" s="2321"/>
      <c r="J52" s="1428"/>
      <c r="K52" s="1428"/>
      <c r="L52" s="1429"/>
      <c r="P52" s="2322"/>
      <c r="Q52" s="1396"/>
      <c r="R52" s="421"/>
      <c r="S52" s="1343"/>
      <c r="T52" s="430" t="s">
        <v>431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201</v>
      </c>
      <c r="B53" s="1428" t="s">
        <v>202</v>
      </c>
      <c r="C53" s="1428" t="s">
        <v>203</v>
      </c>
      <c r="D53" s="1428" t="s">
        <v>204</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423" customFormat="1" customHeight="1" ht="1.05">
      <c r="A54" s="1408" t="s">
        <v>201</v>
      </c>
      <c r="B54" s="1408" t="s">
        <v>202</v>
      </c>
      <c r="C54" s="1408" t="s">
        <v>203</v>
      </c>
      <c r="D54" s="1379"/>
      <c r="E54" s="2324"/>
      <c r="F54" s="2324"/>
      <c r="G54" s="2323"/>
      <c r="H54" s="1379"/>
      <c r="I54" s="1379"/>
      <c r="J54" s="1379"/>
      <c r="K54" s="1379"/>
      <c r="L54" s="1404"/>
      <c r="M54" s="1380"/>
      <c r="N54" s="1380"/>
      <c r="P54" s="1381"/>
      <c r="Q54" s="1382"/>
      <c r="R54" s="1381"/>
      <c r="S54" s="1387"/>
      <c r="T54" s="1390" t="s">
        <v>165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423" customFormat="1" customHeight="1" ht="1.05">
      <c r="A55" s="1408" t="s">
        <v>201</v>
      </c>
      <c r="B55" s="1408" t="s">
        <v>202</v>
      </c>
      <c r="C55" s="1379"/>
      <c r="D55" s="1379"/>
      <c r="E55" s="2324"/>
      <c r="F55" s="2323"/>
      <c r="G55" s="1379"/>
      <c r="H55" s="1379"/>
      <c r="I55" s="1379"/>
      <c r="J55" s="1379"/>
      <c r="K55" s="1379"/>
      <c r="L55" s="1404"/>
      <c r="M55" s="1386"/>
      <c r="N55" s="1386"/>
      <c r="P55" s="1381"/>
      <c r="Q55" s="1382"/>
      <c r="R55" s="1381"/>
      <c r="S55" s="1387"/>
      <c r="T55" s="1390" t="s">
        <v>166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423" customFormat="1" customHeight="1" ht="1.05">
      <c r="A56" s="1408" t="s">
        <v>201</v>
      </c>
      <c r="B56" s="1408"/>
      <c r="C56" s="1408"/>
      <c r="D56" s="1408"/>
      <c r="E56" s="2323"/>
      <c r="F56" s="1408"/>
      <c r="G56" s="1408"/>
      <c r="H56" s="1408"/>
      <c r="I56" s="1408"/>
      <c r="J56" s="1408"/>
      <c r="K56" s="1408"/>
      <c r="L56" s="1411"/>
      <c r="M56" s="1386"/>
      <c r="N56" s="1386"/>
      <c r="O56" s="583"/>
      <c r="P56" s="445"/>
      <c r="Q56" s="1409"/>
      <c r="R56" s="445"/>
      <c r="S56" s="1387"/>
      <c r="T56" s="1390" t="s">
        <v>167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423"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168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85</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A76F5-6E61-321A-B2DE-3F34C67CF3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2.00390625" hidden="1" customWidth="1"/>
    <col min="10" max="10" style="4903" width="9.8515625" hidden="1" customWidth="1"/>
    <col min="11" max="11" style="4903" width="11.421875" hidden="1" customWidth="1"/>
    <col min="12" max="12" style="5422" width="19.140625" hidden="1" customWidth="1"/>
    <col min="13" max="14" style="4107" width="12.28125" hidden="1" customWidth="1"/>
    <col min="15" max="15" style="4107" width="23.421875" hidden="1" customWidth="1"/>
    <col min="16" max="16" style="5625" width="3.7109375" hidden="1" customWidth="1"/>
    <col min="17" max="18" style="4943" width="3.00390625" customWidth="1"/>
    <col min="19" max="19" style="5599" width="12.00390625" customWidth="1"/>
    <col min="20" max="20" style="4921" width="31.00390625" customWidth="1"/>
    <col min="21" max="21" style="4921" width="0.140625" customWidth="1"/>
    <col min="22" max="22" style="4921" width="24.7109375" hidden="1" customWidth="1"/>
    <col min="23" max="23" style="4921" width="0.140625" hidden="1" customWidth="1"/>
    <col min="24" max="25" style="4921" width="24.710937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24.7109375" customWidth="1"/>
    <col min="31" max="31" style="4921" width="0.140625" customWidth="1"/>
    <col min="32" max="33" style="4921" width="24.00390625" customWidth="1"/>
    <col min="34" max="34" style="4921" width="11.00390625" customWidth="1"/>
    <col min="35" max="35" style="4921" width="3.7109375" customWidth="1"/>
    <col min="36" max="36" style="4921" width="11.00390625" customWidth="1"/>
    <col min="37" max="37" style="4921" width="8.57421875" hidden="1" customWidth="1"/>
    <col min="38" max="38" style="4921" width="4.00390625" customWidth="1"/>
    <col min="39" max="39" style="4921" width="115.00390625" customWidth="1"/>
    <col min="40" max="44" style="4423" width="10.00390625" customWidth="1"/>
    <col min="45" max="45" style="4921"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126</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415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416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417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418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419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420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421</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422</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425</v>
      </c>
      <c r="M7" s="602"/>
      <c r="N7" s="1431"/>
      <c r="P7" s="2322"/>
      <c r="Q7" s="2322">
        <v>1</v>
      </c>
      <c r="R7" s="422"/>
      <c r="S7" s="1401">
        <f>$J7</f>
      </c>
      <c r="T7" s="351" t="s">
        <v>426</v>
      </c>
      <c r="U7" s="365"/>
      <c r="V7" s="2310"/>
      <c r="W7" s="2311"/>
      <c r="X7" s="2311"/>
      <c r="Y7" s="2311"/>
      <c r="Z7" s="2311"/>
      <c r="AA7" s="2311"/>
      <c r="AB7" s="2311"/>
      <c r="AC7" s="2312"/>
      <c r="AD7" s="2310"/>
      <c r="AE7" s="2311"/>
      <c r="AF7" s="2311"/>
      <c r="AG7" s="2311"/>
      <c r="AH7" s="2311"/>
      <c r="AI7" s="2311"/>
      <c r="AJ7" s="2311"/>
      <c r="AK7" s="2311"/>
      <c r="AL7" s="2312"/>
      <c r="AM7" s="1323" t="s">
        <v>427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428</v>
      </c>
      <c r="M8" s="602"/>
      <c r="N8" s="1431"/>
      <c r="O8" s="1431"/>
      <c r="P8" s="2322"/>
      <c r="Q8" s="2322"/>
      <c r="R8" s="422">
        <v>1</v>
      </c>
      <c r="S8" s="1401">
        <f>$K8</f>
      </c>
      <c r="T8" s="1412"/>
      <c r="U8" s="365"/>
      <c r="V8" s="816"/>
      <c r="W8" s="390"/>
      <c r="X8" s="816"/>
      <c r="Y8" s="1322"/>
      <c r="Z8" s="2330"/>
      <c r="AA8" s="2172" t="s">
        <v>64</v>
      </c>
      <c r="AB8" s="2330"/>
      <c r="AC8" s="2172" t="s">
        <v>64</v>
      </c>
      <c r="AD8" s="816"/>
      <c r="AE8" s="390"/>
      <c r="AF8" s="816"/>
      <c r="AG8" s="1322"/>
      <c r="AH8" s="2330"/>
      <c r="AI8" s="2172" t="s">
        <v>64</v>
      </c>
      <c r="AJ8" s="2330"/>
      <c r="AK8" s="2172" t="s">
        <v>64</v>
      </c>
      <c r="AL8" s="390"/>
      <c r="AM8" s="2318" t="s">
        <v>429</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430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431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423"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165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423"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166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423"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167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64</v>
      </c>
      <c r="AJ17" s="2332"/>
      <c r="AK17" s="2333" t="s">
        <v>64</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903" customFormat="1" customHeight="1" ht="22.5" hidden="1">
      <c r="L20" s="1394"/>
      <c r="M20" s="1427"/>
      <c r="N20" s="1427"/>
      <c r="O20" s="1432" t="s">
        <v>433</v>
      </c>
      <c r="P20" s="1427"/>
      <c r="Q20" s="1436"/>
      <c r="R20" s="1436"/>
      <c r="S20" s="794"/>
      <c r="Z20" s="1432"/>
      <c r="AB20" s="1432"/>
      <c r="AC20" s="1431"/>
      <c r="AH20" s="1432"/>
      <c r="AJ20" s="1432"/>
      <c r="AK20" s="1431"/>
      <c r="AN20" s="576"/>
      <c r="AO20" s="576"/>
      <c r="AP20" s="576"/>
      <c r="AQ20" s="576"/>
      <c r="AR20" s="576"/>
      <c r="AS20" s="1225">
        <v>0</v>
      </c>
    </row>
    <row s="4903" customFormat="1" customHeight="1" ht="14.25" hidden="1">
      <c r="L21" s="1394"/>
      <c r="M21" s="1427"/>
      <c r="N21" s="1427"/>
      <c r="O21" s="1427"/>
      <c r="P21" s="1427"/>
      <c r="Q21" s="1436"/>
      <c r="R21" s="1436"/>
      <c r="S21" s="794"/>
      <c r="AC21" s="1431"/>
      <c r="AK21" s="1431"/>
      <c r="AN21" s="576"/>
      <c r="AO21" s="576"/>
      <c r="AP21" s="576"/>
      <c r="AQ21" s="576"/>
      <c r="AR21" s="576"/>
      <c r="AS21" s="1225">
        <v>0</v>
      </c>
    </row>
    <row s="4903" customFormat="1" customHeight="1" ht="14.25" hidden="1">
      <c r="L22" s="1394"/>
      <c r="M22" s="1427"/>
      <c r="N22" s="1427"/>
      <c r="O22" s="1429" t="s">
        <v>434</v>
      </c>
      <c r="P22" s="1427"/>
      <c r="Q22" s="1436"/>
      <c r="R22" s="1436"/>
      <c r="S22" s="794"/>
      <c r="T22" s="1225" t="s">
        <v>435</v>
      </c>
      <c r="AA22" s="251" t="s">
        <v>436</v>
      </c>
      <c r="AC22" s="251" t="s">
        <v>437</v>
      </c>
      <c r="AD22" s="1225" t="s">
        <v>435</v>
      </c>
      <c r="AI22" s="251" t="s">
        <v>438</v>
      </c>
      <c r="AK22" s="251" t="s">
        <v>437</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Филиал ПАО "ОГК-2"-Ставропольская ГРЭС</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485"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485" customFormat="1" customHeight="1" ht="18.75">
      <c r="A30" s="1433"/>
      <c r="B30" s="1433"/>
      <c r="C30" s="1433"/>
      <c r="D30" s="1433"/>
      <c r="E30" s="1433"/>
      <c r="F30" s="1433"/>
      <c r="G30" s="1433"/>
      <c r="H30" s="1433"/>
      <c r="I30" s="1433"/>
      <c r="J30" s="1433"/>
      <c r="K30" s="1433"/>
      <c r="L30" s="1434"/>
      <c r="M30" s="1433"/>
      <c r="N30" s="1433"/>
      <c r="O30" s="1433"/>
      <c r="S30" s="2315" t="s">
        <v>439</v>
      </c>
      <c r="T30" s="2315"/>
      <c r="U30" s="1437"/>
      <c r="V30" s="2329" t="str">
        <f>IF(TITLE_DATE_PR_CHANGE="",IF(TITLE_DATE_PR="","",TITLE_DATE_PR),TITLE_DATE_PR_CHANGE)</f>
        <v>45643.434652777774</v>
      </c>
      <c r="W30" s="2329"/>
      <c r="X30" s="2329"/>
      <c r="Y30" s="2329"/>
      <c r="Z30" s="2329"/>
      <c r="AA30" s="2329"/>
      <c r="AB30" s="2329"/>
      <c r="AC30" s="391"/>
      <c r="AD30" s="2329" t="str">
        <f>IF(TITLE_DATE_PR_CHANGE="",IF(TITLE_DATE_PR="","",TITLE_DATE_PR),TITLE_DATE_PR_CHANGE)</f>
        <v>45643.434652777774</v>
      </c>
      <c r="AE30" s="2329"/>
      <c r="AF30" s="2329"/>
      <c r="AG30" s="2329"/>
      <c r="AH30" s="2329"/>
      <c r="AI30" s="2329"/>
      <c r="AJ30" s="2329"/>
      <c r="AK30" s="391"/>
      <c r="AL30" s="391"/>
      <c r="AM30" s="345"/>
      <c r="AN30" s="433"/>
      <c r="AO30" s="433"/>
      <c r="AP30" s="433"/>
      <c r="AQ30" s="433"/>
      <c r="AR30" s="433"/>
      <c r="AS30" s="483">
        <v>0</v>
      </c>
    </row>
    <row s="5485" customFormat="1" customHeight="1" ht="18.75">
      <c r="A31" s="1433"/>
      <c r="B31" s="1433"/>
      <c r="C31" s="1433"/>
      <c r="D31" s="1433"/>
      <c r="E31" s="1433"/>
      <c r="F31" s="1433"/>
      <c r="G31" s="1433"/>
      <c r="H31" s="1433"/>
      <c r="I31" s="1433"/>
      <c r="J31" s="1433"/>
      <c r="K31" s="1433"/>
      <c r="L31" s="1434"/>
      <c r="M31" s="1433"/>
      <c r="N31" s="1433"/>
      <c r="O31" s="1433"/>
      <c r="S31" s="2315" t="s">
        <v>440</v>
      </c>
      <c r="T31" s="2315"/>
      <c r="U31" s="1437"/>
      <c r="V31" s="2316" t="str">
        <f>IF(TITLE_NUMBER_PR_CHANGE="",IF(TITLE_NUMBER_PR="","",TITLE_NUMBER_PR),TITLE_NUMBER_PR_CHANGE)</f>
        <v>71/2</v>
      </c>
      <c r="W31" s="2316"/>
      <c r="X31" s="2316"/>
      <c r="Y31" s="2316"/>
      <c r="Z31" s="2316"/>
      <c r="AA31" s="2316"/>
      <c r="AB31" s="2316"/>
      <c r="AC31" s="391"/>
      <c r="AD31" s="2316" t="str">
        <f>IF(TITLE_NUMBER_PR_CHANGE="",IF(TITLE_NUMBER_PR="","",TITLE_NUMBER_PR),TITLE_NUMBER_PR_CHANGE)</f>
        <v>71/2</v>
      </c>
      <c r="AE31" s="2316"/>
      <c r="AF31" s="2316"/>
      <c r="AG31" s="2316"/>
      <c r="AH31" s="2316"/>
      <c r="AI31" s="2316"/>
      <c r="AJ31" s="2316"/>
      <c r="AK31" s="391"/>
      <c r="AL31" s="391"/>
      <c r="AM31" s="345"/>
      <c r="AN31" s="433"/>
      <c r="AO31" s="433"/>
      <c r="AP31" s="433"/>
      <c r="AQ31" s="433"/>
      <c r="AR31" s="433"/>
      <c r="AS31" s="483">
        <v>0</v>
      </c>
    </row>
    <row s="5485"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Официальный интернет-портал правовой информации Ставропольского края</v>
      </c>
      <c r="W32" s="2316"/>
      <c r="X32" s="2316"/>
      <c r="Y32" s="2316"/>
      <c r="Z32" s="2316"/>
      <c r="AA32" s="2316"/>
      <c r="AB32" s="2316"/>
      <c r="AC32" s="391"/>
      <c r="AD32" s="2316" t="str">
        <f>IF(TITLE_IST_PUB_CHANGE="",IF(TITLE_IST_PUB="","",TITLE_IST_PUB),TITLE_IST_PUB_CHANGE)</f>
        <v>Официальный интернет-портал правовой информации Ставропольского края</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485" customFormat="1" customHeight="1" ht="18.75" hidden="1">
      <c r="A34" s="1433"/>
      <c r="B34" s="1433"/>
      <c r="C34" s="1433"/>
      <c r="D34" s="1433"/>
      <c r="E34" s="1433"/>
      <c r="F34" s="1433"/>
      <c r="G34" s="1433"/>
      <c r="H34" s="1433"/>
      <c r="I34" s="1433"/>
      <c r="J34" s="1433"/>
      <c r="K34" s="1433"/>
      <c r="L34" s="1434"/>
      <c r="M34" s="1433"/>
      <c r="N34" s="1433"/>
      <c r="O34" s="1433"/>
      <c r="S34" s="2315" t="s">
        <v>441</v>
      </c>
      <c r="T34" s="2315"/>
      <c r="U34" s="1437"/>
      <c r="V34" s="2329" t="str">
        <f>IF(TITLE_DATE_PR_CHANGE="",IF(TITLE_DATE_PR="","",TITLE_DATE_PR),TITLE_DATE_PR_CHANGE)</f>
        <v>45643.434652777774</v>
      </c>
      <c r="W34" s="2329"/>
      <c r="X34" s="2329"/>
      <c r="Y34" s="2329"/>
      <c r="Z34" s="2329"/>
      <c r="AA34" s="2329"/>
      <c r="AB34" s="2329"/>
      <c r="AC34" s="391"/>
      <c r="AD34" s="2329" t="str">
        <f>IF(TITLE_DATE_PR_CHANGE="",IF(TITLE_DATE_PR="","",TITLE_DATE_PR),TITLE_DATE_PR_CHANGE)</f>
        <v>45643.434652777774</v>
      </c>
      <c r="AE34" s="2329"/>
      <c r="AF34" s="2329"/>
      <c r="AG34" s="2329"/>
      <c r="AH34" s="2329"/>
      <c r="AI34" s="2329"/>
      <c r="AJ34" s="2329"/>
      <c r="AK34" s="391"/>
      <c r="AL34" s="391"/>
      <c r="AM34" s="345"/>
      <c r="AN34" s="433"/>
      <c r="AO34" s="433"/>
      <c r="AP34" s="433"/>
      <c r="AQ34" s="433"/>
      <c r="AR34" s="433"/>
      <c r="AS34" s="483">
        <v>0</v>
      </c>
    </row>
    <row s="5485" customFormat="1" customHeight="1" ht="25.5" hidden="1">
      <c r="A35" s="1433"/>
      <c r="B35" s="1433"/>
      <c r="C35" s="1433"/>
      <c r="D35" s="1433"/>
      <c r="E35" s="1433"/>
      <c r="F35" s="1433"/>
      <c r="G35" s="1433"/>
      <c r="H35" s="1433"/>
      <c r="I35" s="1433"/>
      <c r="J35" s="1433"/>
      <c r="K35" s="1433"/>
      <c r="L35" s="1434"/>
      <c r="M35" s="1433"/>
      <c r="N35" s="1433"/>
      <c r="O35" s="1433"/>
      <c r="S35" s="2315" t="s">
        <v>442</v>
      </c>
      <c r="T35" s="2315"/>
      <c r="U35" s="1437"/>
      <c r="V35" s="2316" t="str">
        <f>IF(TITLE_NUMBER_PR_CHANGE="",IF(TITLE_NUMBER_PR="","",TITLE_NUMBER_PR),TITLE_NUMBER_PR_CHANGE)</f>
        <v>71/2</v>
      </c>
      <c r="W35" s="2316"/>
      <c r="X35" s="2316"/>
      <c r="Y35" s="2316"/>
      <c r="Z35" s="2316"/>
      <c r="AA35" s="2316"/>
      <c r="AB35" s="2316"/>
      <c r="AC35" s="391"/>
      <c r="AD35" s="2316" t="str">
        <f>IF(TITLE_NUMBER_PR_CHANGE="",IF(TITLE_NUMBER_PR="","",TITLE_NUMBER_PR),TITLE_NUMBER_PR_CHANGE)</f>
        <v>71/2</v>
      </c>
      <c r="AE35" s="2316"/>
      <c r="AF35" s="2316"/>
      <c r="AG35" s="2316"/>
      <c r="AH35" s="2316"/>
      <c r="AI35" s="2316"/>
      <c r="AJ35" s="2316"/>
      <c r="AK35" s="391"/>
      <c r="AL35" s="391"/>
      <c r="AM35" s="345"/>
      <c r="AN35" s="433"/>
      <c r="AO35" s="433"/>
      <c r="AP35" s="433"/>
      <c r="AQ35" s="433"/>
      <c r="AR35" s="433"/>
      <c r="AS35" s="483">
        <v>0</v>
      </c>
    </row>
    <row s="5485"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443</v>
      </c>
      <c r="AD36" s="391"/>
      <c r="AE36" s="391"/>
      <c r="AF36" s="391"/>
      <c r="AG36" s="391"/>
      <c r="AH36" s="391"/>
      <c r="AI36" s="391"/>
      <c r="AJ36" s="391"/>
      <c r="AK36" s="343" t="s">
        <v>443</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319</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320</v>
      </c>
      <c r="AS38" s="1220">
        <v>14</v>
      </c>
    </row>
    <row customHeight="1" ht="14.699999999999998">
      <c r="Q39" s="441"/>
      <c r="R39" s="441"/>
      <c r="S39" s="2338" t="s">
        <v>91</v>
      </c>
      <c r="T39" s="2274" t="s">
        <v>444</v>
      </c>
      <c r="U39" s="366"/>
      <c r="V39" s="2339" t="s">
        <v>445</v>
      </c>
      <c r="W39" s="2340"/>
      <c r="X39" s="2340"/>
      <c r="Y39" s="2340"/>
      <c r="Z39" s="2340"/>
      <c r="AA39" s="2340"/>
      <c r="AB39" s="2341"/>
      <c r="AC39" s="2342" t="s">
        <v>446</v>
      </c>
      <c r="AD39" s="2339" t="s">
        <v>445</v>
      </c>
      <c r="AE39" s="2340"/>
      <c r="AF39" s="2340"/>
      <c r="AG39" s="2340"/>
      <c r="AH39" s="2340"/>
      <c r="AI39" s="2340"/>
      <c r="AJ39" s="2341"/>
      <c r="AK39" s="2342" t="s">
        <v>447</v>
      </c>
      <c r="AL39" s="2345" t="s">
        <v>448</v>
      </c>
      <c r="AM39" s="2192"/>
      <c r="AS39" s="1220">
        <v>14</v>
      </c>
    </row>
    <row customHeight="1" ht="35.699999999999996">
      <c r="Q40" s="441"/>
      <c r="R40" s="441"/>
      <c r="S40" s="2338"/>
      <c r="T40" s="2274"/>
      <c r="U40" s="1096"/>
      <c r="V40" s="2325" t="s">
        <v>449</v>
      </c>
      <c r="W40" s="2348"/>
      <c r="X40" s="2327" t="s">
        <v>451</v>
      </c>
      <c r="Y40" s="2328"/>
      <c r="Z40" s="2327" t="s">
        <v>452</v>
      </c>
      <c r="AA40" s="2334"/>
      <c r="AB40" s="2328"/>
      <c r="AC40" s="2343"/>
      <c r="AD40" s="2325" t="s">
        <v>470</v>
      </c>
      <c r="AE40" s="2348"/>
      <c r="AF40" s="2327" t="s">
        <v>451</v>
      </c>
      <c r="AG40" s="2328"/>
      <c r="AH40" s="2327" t="s">
        <v>452</v>
      </c>
      <c r="AI40" s="2334"/>
      <c r="AJ40" s="2328"/>
      <c r="AK40" s="2343"/>
      <c r="AL40" s="2346"/>
      <c r="AM40" s="2192"/>
      <c r="AS40" s="1220">
        <v>34</v>
      </c>
    </row>
    <row customHeight="1" ht="35.699999999999996">
      <c r="A41" s="1435"/>
      <c r="B41" s="1435" t="s">
        <v>138</v>
      </c>
      <c r="C41" s="1435" t="s">
        <v>139</v>
      </c>
      <c r="D41" s="1435" t="s">
        <v>140</v>
      </c>
      <c r="E41" s="1429" t="s">
        <v>453</v>
      </c>
      <c r="F41" s="1429" t="s">
        <v>454</v>
      </c>
      <c r="G41" s="1429" t="s">
        <v>455</v>
      </c>
      <c r="H41" s="1429" t="s">
        <v>456</v>
      </c>
      <c r="I41" s="1429" t="s">
        <v>457</v>
      </c>
      <c r="J41" s="1429" t="s">
        <v>458</v>
      </c>
      <c r="K41" s="1429" t="s">
        <v>459</v>
      </c>
      <c r="L41" s="1429" t="s">
        <v>434</v>
      </c>
      <c r="Q41" s="441"/>
      <c r="R41" s="441"/>
      <c r="S41" s="2338"/>
      <c r="T41" s="2274"/>
      <c r="U41" s="367"/>
      <c r="V41" s="2326"/>
      <c r="W41" s="2349"/>
      <c r="X41" s="1287" t="s">
        <v>460</v>
      </c>
      <c r="Y41" s="1287" t="s">
        <v>461</v>
      </c>
      <c r="Z41" s="1403" t="s">
        <v>462</v>
      </c>
      <c r="AA41" s="2335" t="s">
        <v>463</v>
      </c>
      <c r="AB41" s="2336"/>
      <c r="AC41" s="2344"/>
      <c r="AD41" s="2326"/>
      <c r="AE41" s="2349"/>
      <c r="AF41" s="1287" t="s">
        <v>460</v>
      </c>
      <c r="AG41" s="1287" t="s">
        <v>461</v>
      </c>
      <c r="AH41" s="1403" t="s">
        <v>462</v>
      </c>
      <c r="AI41" s="2335" t="s">
        <v>463</v>
      </c>
      <c r="AJ41" s="2336"/>
      <c r="AK41" s="2344"/>
      <c r="AL41" s="2347"/>
      <c r="AM41" s="2192"/>
      <c r="AS41" s="1220">
        <v>34</v>
      </c>
    </row>
    <row s="4094"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112</v>
      </c>
      <c r="T42" s="1320" t="s">
        <v>113</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207</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126</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207</v>
      </c>
      <c r="B44" s="1428" t="s">
        <v>208</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416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417</v>
      </c>
      <c r="AO44" s="565"/>
      <c r="AP44" s="565" t="str">
        <f>IF(T44="","",T44)</f>
        <v>Территория действия тарифа</v>
      </c>
      <c r="AQ44" s="565"/>
      <c r="AR44" s="565"/>
      <c r="AS44" s="1220">
        <v>21</v>
      </c>
    </row>
    <row customHeight="1" ht="24">
      <c r="A45" s="1428" t="s">
        <v>207</v>
      </c>
      <c r="B45" s="1428" t="s">
        <v>208</v>
      </c>
      <c r="C45" s="1428" t="s">
        <v>209</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418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419</v>
      </c>
      <c r="AO45" s="565"/>
      <c r="AP45" s="565" t="str">
        <f>IF(T45="","",T45)</f>
        <v>Наименование системы теплоснабжения </v>
      </c>
      <c r="AQ45" s="565"/>
      <c r="AR45" s="565"/>
      <c r="AS45" s="1220">
        <v>23</v>
      </c>
    </row>
    <row customHeight="1" ht="22.049999999999997">
      <c r="A46" s="1428" t="s">
        <v>207</v>
      </c>
      <c r="B46" s="1428" t="s">
        <v>208</v>
      </c>
      <c r="C46" s="1428" t="s">
        <v>209</v>
      </c>
      <c r="D46" s="1428" t="s">
        <v>210</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420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421</v>
      </c>
      <c r="AO46" s="565"/>
      <c r="AP46" s="565" t="str">
        <f>IF(T46="","",T46)</f>
        <v>Источник тепловой энергии  </v>
      </c>
      <c r="AQ46" s="565"/>
      <c r="AR46" s="565"/>
      <c r="AS46" s="1220">
        <v>21</v>
      </c>
    </row>
    <row s="4423" customFormat="1" customHeight="1" ht="0">
      <c r="A47" s="1408" t="s">
        <v>207</v>
      </c>
      <c r="B47" s="1408" t="s">
        <v>208</v>
      </c>
      <c r="C47" s="1408" t="s">
        <v>209</v>
      </c>
      <c r="D47" s="1408" t="s">
        <v>210</v>
      </c>
      <c r="E47" s="2324"/>
      <c r="F47" s="2324"/>
      <c r="G47" s="2324"/>
      <c r="H47" s="2324"/>
      <c r="I47" s="2321" t="str">
        <f>S46&amp;".1"</f>
        <v>....1</v>
      </c>
      <c r="J47" s="1408"/>
      <c r="K47" s="1408"/>
      <c r="L47" s="1411" t="s">
        <v>422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207</v>
      </c>
      <c r="B48" s="1428" t="s">
        <v>208</v>
      </c>
      <c r="C48" s="1428" t="s">
        <v>209</v>
      </c>
      <c r="D48" s="1428" t="s">
        <v>210</v>
      </c>
      <c r="E48" s="2324"/>
      <c r="F48" s="2324"/>
      <c r="G48" s="2324"/>
      <c r="H48" s="2324"/>
      <c r="I48" s="2351"/>
      <c r="J48" s="2321" t="str">
        <f>S46&amp;".1"</f>
        <v>....1</v>
      </c>
      <c r="K48" s="1428"/>
      <c r="L48" s="1429" t="s">
        <v>425</v>
      </c>
      <c r="P48" s="2322"/>
      <c r="Q48" s="2322">
        <v>1</v>
      </c>
      <c r="R48" s="422"/>
      <c r="S48" s="1401" t="str">
        <f>$J48</f>
        <v>....1</v>
      </c>
      <c r="T48" s="351" t="s">
        <v>426</v>
      </c>
      <c r="U48" s="365"/>
      <c r="V48" s="2310"/>
      <c r="W48" s="2311"/>
      <c r="X48" s="2311"/>
      <c r="Y48" s="2311"/>
      <c r="Z48" s="2311"/>
      <c r="AA48" s="2311"/>
      <c r="AB48" s="2311"/>
      <c r="AC48" s="2312"/>
      <c r="AD48" s="2310"/>
      <c r="AE48" s="2311"/>
      <c r="AF48" s="2311"/>
      <c r="AG48" s="2311"/>
      <c r="AH48" s="2311"/>
      <c r="AI48" s="2311"/>
      <c r="AJ48" s="2311"/>
      <c r="AK48" s="2311"/>
      <c r="AL48" s="2312"/>
      <c r="AM48" s="1323" t="s">
        <v>427</v>
      </c>
      <c r="AO48" s="565"/>
      <c r="AP48" s="565" t="str">
        <f>IF(T48="","",T48)</f>
        <v>Группа потребителей</v>
      </c>
      <c r="AQ48" s="565"/>
      <c r="AR48" s="565"/>
      <c r="AS48" s="1220">
        <v>21</v>
      </c>
    </row>
    <row customHeight="1" ht="22.049999999999997">
      <c r="A49" s="1428" t="s">
        <v>207</v>
      </c>
      <c r="B49" s="1428" t="s">
        <v>208</v>
      </c>
      <c r="C49" s="1428" t="s">
        <v>209</v>
      </c>
      <c r="D49" s="1428" t="s">
        <v>210</v>
      </c>
      <c r="E49" s="2324"/>
      <c r="F49" s="2324"/>
      <c r="G49" s="2324"/>
      <c r="H49" s="2324"/>
      <c r="I49" s="2351"/>
      <c r="J49" s="2351"/>
      <c r="K49" s="2321" t="str">
        <f>J48&amp;".1"</f>
        <v>....1.1</v>
      </c>
      <c r="L49" s="1429" t="s">
        <v>428</v>
      </c>
      <c r="P49" s="2322"/>
      <c r="Q49" s="2322"/>
      <c r="R49" s="422">
        <v>1</v>
      </c>
      <c r="S49" s="1401" t="str">
        <f>$K49</f>
        <v>....1.1</v>
      </c>
      <c r="T49" s="1412"/>
      <c r="U49" s="365"/>
      <c r="V49" s="816"/>
      <c r="W49" s="390"/>
      <c r="X49" s="816"/>
      <c r="Y49" s="1322"/>
      <c r="Z49" s="2330"/>
      <c r="AA49" s="2172" t="s">
        <v>64</v>
      </c>
      <c r="AB49" s="2330"/>
      <c r="AC49" s="2172" t="s">
        <v>64</v>
      </c>
      <c r="AD49" s="816"/>
      <c r="AE49" s="390"/>
      <c r="AF49" s="816"/>
      <c r="AG49" s="1322"/>
      <c r="AH49" s="2330"/>
      <c r="AI49" s="2172" t="s">
        <v>64</v>
      </c>
      <c r="AJ49" s="2352"/>
      <c r="AK49" s="2172" t="s">
        <v>64</v>
      </c>
      <c r="AL49" s="1413"/>
      <c r="AM49" s="2318" t="s">
        <v>471</v>
      </c>
      <c r="AN49" s="576">
        <f>STRCHECKDATE(V50:AL50)</f>
      </c>
      <c r="AO49" s="565"/>
      <c r="AP49" s="565" t="str">
        <f>IF(T49="","",T49)</f>
        <v/>
      </c>
      <c r="AQ49" s="565"/>
      <c r="AR49" s="565"/>
      <c r="AS49" s="1220">
        <v>21</v>
      </c>
    </row>
    <row customHeight="1" ht="0">
      <c r="A50" s="1428" t="s">
        <v>207</v>
      </c>
      <c r="B50" s="1428" t="s">
        <v>208</v>
      </c>
      <c r="C50" s="1428" t="s">
        <v>209</v>
      </c>
      <c r="D50" s="1428" t="s">
        <v>210</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207</v>
      </c>
      <c r="B51" s="1428" t="s">
        <v>208</v>
      </c>
      <c r="C51" s="1428" t="s">
        <v>209</v>
      </c>
      <c r="D51" s="1428" t="s">
        <v>210</v>
      </c>
      <c r="E51" s="2324"/>
      <c r="F51" s="2324"/>
      <c r="G51" s="2324"/>
      <c r="H51" s="2324"/>
      <c r="I51" s="2351"/>
      <c r="J51" s="2321"/>
      <c r="K51" s="1428"/>
      <c r="L51" s="1429"/>
      <c r="P51" s="2322"/>
      <c r="Q51" s="2322"/>
      <c r="R51" s="421"/>
      <c r="S51" s="1343"/>
      <c r="T51" s="352" t="s">
        <v>430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207</v>
      </c>
      <c r="B52" s="1428" t="s">
        <v>208</v>
      </c>
      <c r="C52" s="1428" t="s">
        <v>209</v>
      </c>
      <c r="D52" s="1428" t="s">
        <v>210</v>
      </c>
      <c r="E52" s="2324"/>
      <c r="F52" s="2324"/>
      <c r="G52" s="2324"/>
      <c r="H52" s="2324"/>
      <c r="I52" s="2321"/>
      <c r="J52" s="1428"/>
      <c r="K52" s="1428"/>
      <c r="L52" s="1429"/>
      <c r="P52" s="2322"/>
      <c r="Q52" s="1396"/>
      <c r="R52" s="421"/>
      <c r="S52" s="1343"/>
      <c r="T52" s="430" t="s">
        <v>431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207</v>
      </c>
      <c r="B53" s="1428" t="s">
        <v>208</v>
      </c>
      <c r="C53" s="1428" t="s">
        <v>209</v>
      </c>
      <c r="D53" s="1428" t="s">
        <v>210</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423" customFormat="1" customHeight="1" ht="0">
      <c r="A54" s="1408" t="s">
        <v>207</v>
      </c>
      <c r="B54" s="1408" t="s">
        <v>208</v>
      </c>
      <c r="C54" s="1408" t="s">
        <v>209</v>
      </c>
      <c r="D54" s="1379"/>
      <c r="E54" s="2324"/>
      <c r="F54" s="2324"/>
      <c r="G54" s="2323"/>
      <c r="H54" s="1379"/>
      <c r="I54" s="1379"/>
      <c r="J54" s="1379"/>
      <c r="K54" s="1379"/>
      <c r="L54" s="1404"/>
      <c r="M54" s="1380"/>
      <c r="N54" s="1380"/>
      <c r="P54" s="1381"/>
      <c r="Q54" s="1382"/>
      <c r="R54" s="1381"/>
      <c r="S54" s="1387"/>
      <c r="T54" s="1390" t="s">
        <v>165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423" customFormat="1" customHeight="1" ht="0">
      <c r="A55" s="1408" t="s">
        <v>207</v>
      </c>
      <c r="B55" s="1408" t="s">
        <v>208</v>
      </c>
      <c r="C55" s="1379"/>
      <c r="D55" s="1379"/>
      <c r="E55" s="2324"/>
      <c r="F55" s="2323"/>
      <c r="G55" s="1379"/>
      <c r="H55" s="1379"/>
      <c r="I55" s="1379"/>
      <c r="J55" s="1379"/>
      <c r="K55" s="1379"/>
      <c r="L55" s="1404"/>
      <c r="M55" s="1386"/>
      <c r="N55" s="1386"/>
      <c r="P55" s="1381"/>
      <c r="Q55" s="1382"/>
      <c r="R55" s="1381"/>
      <c r="S55" s="1387"/>
      <c r="T55" s="1390" t="s">
        <v>166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423" customFormat="1" customHeight="1" ht="0">
      <c r="A56" s="1408" t="s">
        <v>207</v>
      </c>
      <c r="B56" s="1408"/>
      <c r="C56" s="1408"/>
      <c r="D56" s="1408"/>
      <c r="E56" s="2323"/>
      <c r="F56" s="1408"/>
      <c r="G56" s="1408"/>
      <c r="H56" s="1408"/>
      <c r="I56" s="1408"/>
      <c r="J56" s="1408"/>
      <c r="K56" s="1408"/>
      <c r="L56" s="1411"/>
      <c r="M56" s="1386"/>
      <c r="N56" s="1386"/>
      <c r="O56" s="583"/>
      <c r="P56" s="445"/>
      <c r="Q56" s="1409"/>
      <c r="R56" s="445"/>
      <c r="S56" s="1387"/>
      <c r="T56" s="1390" t="s">
        <v>167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423"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168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85</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74E6F-EF7A-3969-A78D-30B9A6CAD626}" mc:Ignorable="x14ac xr xr2 xr3">
  <sheetPr>
    <tabColor theme="6" tint="0.4"/>
  </sheetPr>
  <dimension ref="A1:BF94"/>
  <sheetViews>
    <sheetView showGridLines="0" zoomScale="90" workbookViewId="0">
      <pane xSplit="32" ySplit="48" topLeftCell="AG49" activePane="bottomRight" state="frozen"/>
      <selection pane="bottomLeft" activeCell="A49" sqref="A49"/>
      <selection pane="topRight" activeCell="AG1" sqref="AG1"/>
      <selection pane="bottomRight" activeCell="AR77" sqref="AR77"/>
    </sheetView>
  </sheetViews>
  <sheetFormatPr defaultColWidth="10.57421875" customHeight="1" defaultRowHeight="14.25"/>
  <cols>
    <col min="1" max="1" style="4921" width="10.57421875" hidden="1"/>
    <col min="2" max="2" style="4921" width="11.00390625" hidden="1" customWidth="1"/>
    <col min="3" max="3" style="4921" width="10.57421875" hidden="1"/>
    <col min="4" max="4" style="4921" width="11.8515625" hidden="1" customWidth="1"/>
    <col min="5" max="5" style="4921" width="10.00390625" hidden="1" customWidth="1"/>
    <col min="6" max="6" style="4921" width="8.7109375" hidden="1" customWidth="1"/>
    <col min="7" max="7" style="4921" width="7.57421875" hidden="1" customWidth="1"/>
    <col min="8" max="8" style="4921" width="11.421875" hidden="1" customWidth="1"/>
    <col min="9" max="9" style="4921" width="12.00390625" hidden="1" customWidth="1"/>
    <col min="10" max="10" style="4921" width="9.8515625" hidden="1" customWidth="1"/>
    <col min="11" max="12" style="4921" width="11.421875" hidden="1" customWidth="1"/>
    <col min="13" max="13" style="5606" width="19.140625" hidden="1" customWidth="1"/>
    <col min="14" max="15" style="5625" width="12.28125" hidden="1" customWidth="1"/>
    <col min="16" max="16" style="5625" width="23.421875" hidden="1" customWidth="1"/>
    <col min="17" max="17" style="5625" width="3.7109375" hidden="1" customWidth="1"/>
    <col min="18" max="20" style="4943" width="3.00390625" customWidth="1"/>
    <col min="21" max="21" style="5599" width="12.00390625" customWidth="1"/>
    <col min="22" max="22" style="4921" width="31.00390625" customWidth="1"/>
    <col min="23" max="23" style="4921" width="0.140625" customWidth="1"/>
    <col min="24" max="28" style="4921" width="21.7109375" hidden="1" customWidth="1"/>
    <col min="29" max="29" style="4921" width="11.7109375" hidden="1" customWidth="1"/>
    <col min="30" max="30" style="4921" width="3.7109375" hidden="1" customWidth="1"/>
    <col min="31" max="31" style="4921" width="11.7109375" hidden="1" customWidth="1"/>
    <col min="32" max="32" style="4921" width="8.57421875" hidden="1" customWidth="1"/>
    <col min="33" max="37" style="4921" width="21.00390625" customWidth="1"/>
    <col min="38" max="38" style="4921" width="14.140625" customWidth="1"/>
    <col min="39" max="39" style="4921" width="3.7109375" customWidth="1"/>
    <col min="40" max="40" style="4921" width="14.7109375" customWidth="1"/>
    <col min="41" max="41" style="4921" width="8.57421875" customWidth="1"/>
    <col min="50" max="50" style="127" width="10.57421875" hidden="1"/>
    <col min="51" max="51" style="4921" width="4.00390625" customWidth="1"/>
    <col min="52" max="52" style="4921" width="115.00390625" customWidth="1"/>
    <col min="53" max="57" style="4423" width="10.00390625" customWidth="1"/>
    <col min="58" max="58" style="4921" width="10.57421875" hidden="1"/>
  </cols>
  <sheetData>
    <row customHeight="1" ht="22.5" hidden="1">
      <c r="AB1" s="392"/>
      <c r="AC1" s="392"/>
      <c r="AK1" s="392"/>
      <c r="AL1" s="392"/>
      <c r="AP1" s="4921"/>
      <c r="AQ1" s="4921"/>
      <c r="AR1" s="4921"/>
      <c r="AS1" s="4921"/>
      <c r="AT1" s="4921"/>
      <c r="AU1" s="4921"/>
      <c r="AV1" s="4921"/>
      <c r="AW1" s="4921"/>
      <c r="AX1" s="5908"/>
      <c r="BF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126</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3922"/>
      <c r="AQ2" s="4210"/>
      <c r="AR2" s="4210"/>
      <c r="AS2" s="4210"/>
      <c r="AT2" s="4210"/>
      <c r="AU2" s="4210"/>
      <c r="AV2" s="4210"/>
      <c r="AW2" s="4210"/>
      <c r="AX2" s="5910"/>
      <c r="AY2" s="2309"/>
      <c r="AZ2" s="1323" t="s">
        <v>415</v>
      </c>
      <c r="BB2" s="565"/>
      <c r="BC2" s="565" t="str">
        <f>IF(V2="","",V2)</f>
        <v>Наименование тарифа</v>
      </c>
      <c r="BD2" s="565"/>
      <c r="BE2" s="565"/>
      <c r="BF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416</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3922"/>
      <c r="AQ3" s="4210"/>
      <c r="AR3" s="4210"/>
      <c r="AS3" s="4210"/>
      <c r="AT3" s="4210"/>
      <c r="AU3" s="4210"/>
      <c r="AV3" s="4210"/>
      <c r="AW3" s="4210"/>
      <c r="AX3" s="5910"/>
      <c r="AY3" s="2309"/>
      <c r="AZ3" s="1323" t="s">
        <v>417</v>
      </c>
      <c r="BB3" s="565"/>
      <c r="BC3" s="565" t="str">
        <f>IF(V3="","",V3)</f>
        <v>Территория действия тарифа</v>
      </c>
      <c r="BD3" s="565"/>
      <c r="BE3" s="565"/>
      <c r="BF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418</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3922"/>
      <c r="AQ4" s="4210"/>
      <c r="AR4" s="4210"/>
      <c r="AS4" s="4210"/>
      <c r="AT4" s="4210"/>
      <c r="AU4" s="4210"/>
      <c r="AV4" s="4210"/>
      <c r="AW4" s="4210"/>
      <c r="AX4" s="5910"/>
      <c r="AY4" s="2309"/>
      <c r="AZ4" s="1323" t="s">
        <v>419</v>
      </c>
      <c r="BB4" s="565"/>
      <c r="BC4" s="565" t="str">
        <f>IF(V4="","",V4)</f>
        <v>Наименование системы теплоснабжения </v>
      </c>
      <c r="BD4" s="565"/>
      <c r="BE4" s="565"/>
      <c r="BF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420</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3922"/>
      <c r="AQ5" s="4210"/>
      <c r="AR5" s="4210"/>
      <c r="AS5" s="4210"/>
      <c r="AT5" s="4210"/>
      <c r="AU5" s="4210"/>
      <c r="AV5" s="4210"/>
      <c r="AW5" s="4210"/>
      <c r="AX5" s="5910"/>
      <c r="AY5" s="2309"/>
      <c r="AZ5" s="1323" t="s">
        <v>421</v>
      </c>
      <c r="BB5" s="565"/>
      <c r="BC5" s="565" t="str">
        <f>IF(V5="","",V5)</f>
        <v>Источник тепловой энергии  </v>
      </c>
      <c r="BD5" s="565"/>
      <c r="BE5" s="565"/>
      <c r="BF5" s="1220">
        <v>0</v>
      </c>
    </row>
    <row customHeight="1" ht="14.25" hidden="1">
      <c r="A6" s="1332"/>
      <c r="B6" s="1332"/>
      <c r="C6" s="1332"/>
      <c r="D6" s="1332"/>
      <c r="E6" s="2355"/>
      <c r="F6" s="2355"/>
      <c r="G6" s="2355"/>
      <c r="H6" s="2355"/>
      <c r="I6" s="2192">
        <f>U5&amp;".1"</f>
      </c>
      <c r="J6" s="1332"/>
      <c r="K6" s="1332"/>
      <c r="L6" s="1332"/>
      <c r="M6" s="1375" t="s">
        <v>422</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3947"/>
      <c r="AQ6" s="4212"/>
      <c r="AR6" s="4212"/>
      <c r="AS6" s="4212"/>
      <c r="AT6" s="4212"/>
      <c r="AU6" s="4212"/>
      <c r="AV6" s="4212"/>
      <c r="AW6" s="4212"/>
      <c r="AX6" s="5956"/>
      <c r="AY6" s="2363"/>
      <c r="AZ6" s="1450"/>
      <c r="BB6" s="565"/>
      <c r="BC6" s="565" t="str">
        <f>IF(V6="","",V6)</f>
        <v/>
      </c>
      <c r="BD6" s="565"/>
      <c r="BE6" s="565"/>
      <c r="BF6" s="1220">
        <v>0</v>
      </c>
    </row>
    <row customHeight="1" ht="21" hidden="1">
      <c r="A7" s="1332"/>
      <c r="B7" s="1332"/>
      <c r="C7" s="1332"/>
      <c r="D7" s="1332"/>
      <c r="E7" s="2355"/>
      <c r="F7" s="2355"/>
      <c r="G7" s="2355"/>
      <c r="H7" s="2355"/>
      <c r="I7" s="2166"/>
      <c r="J7" s="2192">
        <f>I6&amp;".1"</f>
      </c>
      <c r="K7" s="1332"/>
      <c r="L7" s="1332"/>
      <c r="M7" s="1375" t="s">
        <v>425</v>
      </c>
      <c r="N7" s="574"/>
      <c r="O7" s="392"/>
      <c r="Q7" s="2322"/>
      <c r="R7" s="2322">
        <v>1</v>
      </c>
      <c r="S7" s="583"/>
      <c r="T7" s="422"/>
      <c r="U7" s="1401">
        <f>$J7</f>
      </c>
      <c r="V7" s="351" t="s">
        <v>426</v>
      </c>
      <c r="W7" s="365"/>
      <c r="X7" s="2310"/>
      <c r="Y7" s="2311"/>
      <c r="Z7" s="2311"/>
      <c r="AA7" s="2311"/>
      <c r="AB7" s="2311"/>
      <c r="AC7" s="2300"/>
      <c r="AD7" s="2300"/>
      <c r="AE7" s="2300"/>
      <c r="AF7" s="2373"/>
      <c r="AG7" s="2310"/>
      <c r="AH7" s="2311"/>
      <c r="AI7" s="2311"/>
      <c r="AJ7" s="2311"/>
      <c r="AK7" s="2311"/>
      <c r="AL7" s="2311"/>
      <c r="AM7" s="2311"/>
      <c r="AN7" s="2311"/>
      <c r="AO7" s="2311"/>
      <c r="AP7" s="5289"/>
      <c r="AQ7" s="3956"/>
      <c r="AR7" s="3956"/>
      <c r="AS7" s="3956"/>
      <c r="AT7" s="3956"/>
      <c r="AU7" s="3957"/>
      <c r="AV7" s="3957"/>
      <c r="AW7" s="3957"/>
      <c r="AX7" s="5962"/>
      <c r="AY7" s="2312"/>
      <c r="AZ7" s="1323" t="s">
        <v>427</v>
      </c>
      <c r="BB7" s="565"/>
      <c r="BC7" s="565" t="str">
        <f>IF(V7="","",V7)</f>
        <v>Группа потребителей</v>
      </c>
      <c r="BD7" s="565"/>
      <c r="BE7" s="565"/>
      <c r="BF7" s="1220">
        <v>0</v>
      </c>
    </row>
    <row customHeight="1" ht="21" hidden="1">
      <c r="A8" s="1332"/>
      <c r="B8" s="1332"/>
      <c r="C8" s="1332"/>
      <c r="D8" s="1332"/>
      <c r="E8" s="2355"/>
      <c r="F8" s="2355"/>
      <c r="G8" s="2355"/>
      <c r="H8" s="2355"/>
      <c r="I8" s="2166"/>
      <c r="J8" s="2166"/>
      <c r="K8" s="2192">
        <f>J7&amp;".1"</f>
      </c>
      <c r="L8" s="204"/>
      <c r="M8" s="1375" t="s">
        <v>428</v>
      </c>
      <c r="N8" s="574"/>
      <c r="O8" s="392"/>
      <c r="P8" s="392"/>
      <c r="Q8" s="2322"/>
      <c r="R8" s="2322"/>
      <c r="S8" s="2322">
        <v>1</v>
      </c>
      <c r="T8" s="422"/>
      <c r="U8" s="1401">
        <f>$K8</f>
      </c>
      <c r="V8" s="1412"/>
      <c r="W8" s="365"/>
      <c r="X8" s="816"/>
      <c r="Y8" s="816"/>
      <c r="Z8" s="816"/>
      <c r="AA8" s="816"/>
      <c r="AB8" s="1470"/>
      <c r="AC8" s="2330"/>
      <c r="AD8" s="2172" t="s">
        <v>64</v>
      </c>
      <c r="AE8" s="2330"/>
      <c r="AF8" s="2172" t="s">
        <v>64</v>
      </c>
      <c r="AG8" s="1472"/>
      <c r="AH8" s="816"/>
      <c r="AI8" s="816"/>
      <c r="AJ8" s="816"/>
      <c r="AK8" s="1322"/>
      <c r="AL8" s="2330"/>
      <c r="AM8" s="2172" t="s">
        <v>64</v>
      </c>
      <c r="AN8" s="2330"/>
      <c r="AO8" s="2172" t="s">
        <v>64</v>
      </c>
      <c r="AP8" s="4296"/>
      <c r="AQ8" s="4296"/>
      <c r="AR8" s="4296"/>
      <c r="AS8" s="4296"/>
      <c r="AT8" s="3963"/>
      <c r="AU8" s="5608"/>
      <c r="AV8" s="4650" t="s">
        <v>64</v>
      </c>
      <c r="AW8" s="5608"/>
      <c r="AX8" s="4650" t="s">
        <v>64</v>
      </c>
      <c r="AY8" s="390"/>
      <c r="AZ8" s="1372" t="s">
        <v>472</v>
      </c>
      <c r="BA8" s="576">
        <f>STRCHECKDATE(X10:AY10)</f>
      </c>
      <c r="BB8" s="565"/>
      <c r="BC8" s="565" t="str">
        <f>IF(V8="","",V8)</f>
        <v/>
      </c>
      <c r="BD8" s="565"/>
      <c r="BE8" s="565"/>
      <c r="BF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66"/>
      <c r="AQ9" s="4296"/>
      <c r="AR9" s="4296"/>
      <c r="AS9" s="4296"/>
      <c r="AT9" s="3963"/>
      <c r="AU9" s="5453"/>
      <c r="AV9" s="4650"/>
      <c r="AW9" s="5453"/>
      <c r="AX9" s="4650"/>
      <c r="AY9" s="390"/>
      <c r="AZ9" s="2318" t="s">
        <v>473</v>
      </c>
      <c r="BB9" s="565"/>
      <c r="BC9" s="565"/>
      <c r="BD9" s="565"/>
      <c r="BE9" s="565"/>
      <c r="BF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66"/>
      <c r="AQ10" s="3966"/>
      <c r="AR10" s="3966"/>
      <c r="AS10" s="3966"/>
      <c r="AT10" s="3974" t="str">
        <f>AU8&amp;"-"&amp;AW8</f>
        <v>-</v>
      </c>
      <c r="AU10" s="5453"/>
      <c r="AV10" s="4650"/>
      <c r="AW10" s="5453"/>
      <c r="AX10" s="4650"/>
      <c r="AY10" s="390"/>
      <c r="AZ10" s="2319"/>
      <c r="BB10" s="565"/>
      <c r="BC10" s="565" t="str">
        <f>IF(V10="","",V10)</f>
        <v/>
      </c>
      <c r="BD10" s="565"/>
      <c r="BE10" s="565"/>
      <c r="BF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474</v>
      </c>
      <c r="W11" s="1457"/>
      <c r="X11" s="1458"/>
      <c r="Y11" s="1458"/>
      <c r="Z11" s="1458"/>
      <c r="AA11" s="1458"/>
      <c r="AB11" s="1459"/>
      <c r="AC11" s="2374"/>
      <c r="AD11" s="2172"/>
      <c r="AE11" s="2374"/>
      <c r="AF11" s="2172"/>
      <c r="AG11" s="1458"/>
      <c r="AH11" s="1458"/>
      <c r="AI11" s="1458"/>
      <c r="AJ11" s="1458"/>
      <c r="AK11" s="1459"/>
      <c r="AL11" s="2374"/>
      <c r="AM11" s="2172"/>
      <c r="AN11" s="2374"/>
      <c r="AO11" s="2172"/>
      <c r="AP11" s="5825"/>
      <c r="AQ11" s="5826"/>
      <c r="AR11" s="5827"/>
      <c r="AS11" s="5828"/>
      <c r="AT11" s="5829"/>
      <c r="AU11" s="5453"/>
      <c r="AV11" s="4650"/>
      <c r="AW11" s="5453"/>
      <c r="AX11" s="4650"/>
      <c r="AY11" s="1460"/>
      <c r="AZ11" s="2319"/>
      <c r="BB11" s="565"/>
      <c r="BC11" s="565"/>
      <c r="BD11" s="565"/>
      <c r="BE11" s="565"/>
      <c r="BF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430</v>
      </c>
      <c r="W12" s="432"/>
      <c r="X12" s="432"/>
      <c r="Y12" s="432"/>
      <c r="Z12" s="432"/>
      <c r="AA12" s="432"/>
      <c r="AB12" s="432"/>
      <c r="AC12" s="1473"/>
      <c r="AD12" s="1473"/>
      <c r="AE12" s="1473"/>
      <c r="AF12" s="1473"/>
      <c r="AG12" s="432"/>
      <c r="AH12" s="432"/>
      <c r="AI12" s="432"/>
      <c r="AJ12" s="432"/>
      <c r="AK12" s="432"/>
      <c r="AL12" s="432"/>
      <c r="AM12" s="432"/>
      <c r="AN12" s="432"/>
      <c r="AO12" s="432"/>
      <c r="AP12" s="5830"/>
      <c r="AQ12" s="5831"/>
      <c r="AR12" s="5832"/>
      <c r="AS12" s="5833"/>
      <c r="AT12" s="5834"/>
      <c r="AU12" s="5835"/>
      <c r="AV12" s="5836"/>
      <c r="AW12" s="5837"/>
      <c r="AX12" s="5963"/>
      <c r="AY12" s="389"/>
      <c r="AZ12" s="2320"/>
      <c r="BB12" s="565"/>
      <c r="BC12" s="565" t="str">
        <f>IF(V12="","",V12)</f>
        <v>Добавить вид теплоносителя (параметры теплоносителя)</v>
      </c>
      <c r="BD12" s="565"/>
      <c r="BE12" s="565"/>
      <c r="BF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431</v>
      </c>
      <c r="W13" s="432"/>
      <c r="X13" s="432"/>
      <c r="Y13" s="432"/>
      <c r="Z13" s="432"/>
      <c r="AA13" s="432"/>
      <c r="AB13" s="432"/>
      <c r="AC13" s="432"/>
      <c r="AD13" s="432"/>
      <c r="AE13" s="432"/>
      <c r="AF13" s="431"/>
      <c r="AG13" s="432"/>
      <c r="AH13" s="432"/>
      <c r="AI13" s="432"/>
      <c r="AJ13" s="432"/>
      <c r="AK13" s="432"/>
      <c r="AL13" s="432"/>
      <c r="AM13" s="432"/>
      <c r="AN13" s="432"/>
      <c r="AO13" s="431"/>
      <c r="AP13" s="5839"/>
      <c r="AQ13" s="5840"/>
      <c r="AR13" s="5841"/>
      <c r="AS13" s="5842"/>
      <c r="AT13" s="5843"/>
      <c r="AU13" s="5844"/>
      <c r="AV13" s="5845"/>
      <c r="AW13" s="5846"/>
      <c r="AX13" s="5964"/>
      <c r="AY13" s="432"/>
      <c r="AZ13" s="368"/>
      <c r="BB13" s="565"/>
      <c r="BC13" s="565" t="str">
        <f>IF(V13="","",V13)</f>
        <v>Добавить группу потребителей</v>
      </c>
      <c r="BD13" s="565"/>
      <c r="BE13" s="565"/>
      <c r="BF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4088"/>
      <c r="AQ14" s="4088"/>
      <c r="AR14" s="4088"/>
      <c r="AS14" s="4088"/>
      <c r="AT14" s="4088"/>
      <c r="AU14" s="4088"/>
      <c r="AV14" s="4088"/>
      <c r="AW14" s="4088"/>
      <c r="AX14" s="4088"/>
      <c r="AY14" s="1453"/>
      <c r="AZ14" s="1454"/>
      <c r="BB14" s="565"/>
      <c r="BC14" s="565" t="str">
        <f>IF(V14="","",V14)</f>
        <v/>
      </c>
      <c r="BD14" s="565"/>
      <c r="BE14" s="565"/>
      <c r="BF14" s="1220">
        <v>0</v>
      </c>
    </row>
    <row s="4423"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165</v>
      </c>
      <c r="W15" s="1385"/>
      <c r="X15" s="1385"/>
      <c r="Y15" s="1385"/>
      <c r="Z15" s="1385"/>
      <c r="AA15" s="1385"/>
      <c r="AB15" s="1385"/>
      <c r="AC15" s="1385"/>
      <c r="AD15" s="1385"/>
      <c r="AE15" s="1385"/>
      <c r="AF15" s="1385"/>
      <c r="AG15" s="1385"/>
      <c r="AH15" s="1385"/>
      <c r="AI15" s="1385"/>
      <c r="AJ15" s="1385"/>
      <c r="AK15" s="1385"/>
      <c r="AL15" s="1385"/>
      <c r="AM15" s="1385"/>
      <c r="AN15" s="1385"/>
      <c r="AO15" s="1385"/>
      <c r="AP15" s="4099"/>
      <c r="AQ15" s="4099"/>
      <c r="AR15" s="4099"/>
      <c r="AS15" s="4099"/>
      <c r="AT15" s="4099"/>
      <c r="AU15" s="4099"/>
      <c r="AV15" s="4099"/>
      <c r="AW15" s="4099"/>
      <c r="AX15" s="4099"/>
      <c r="AY15" s="1385"/>
      <c r="AZ15" s="1385"/>
      <c r="BB15" s="854"/>
      <c r="BC15" s="854" t="str">
        <f>IF(V15="","",V15)</f>
        <v>Добавить источник для дифференциации</v>
      </c>
      <c r="BD15" s="854"/>
      <c r="BE15" s="854"/>
      <c r="BF15" s="583">
        <v>0</v>
      </c>
    </row>
    <row s="4423"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166</v>
      </c>
      <c r="W16" s="1389"/>
      <c r="X16" s="1389"/>
      <c r="Y16" s="1389"/>
      <c r="Z16" s="1389"/>
      <c r="AA16" s="1389"/>
      <c r="AB16" s="1389"/>
      <c r="AC16" s="1389"/>
      <c r="AD16" s="1389"/>
      <c r="AE16" s="1389"/>
      <c r="AF16" s="1389"/>
      <c r="AG16" s="1389"/>
      <c r="AH16" s="1389"/>
      <c r="AI16" s="1389"/>
      <c r="AJ16" s="1389"/>
      <c r="AK16" s="1389"/>
      <c r="AL16" s="1389"/>
      <c r="AM16" s="1389"/>
      <c r="AN16" s="1389"/>
      <c r="AO16" s="1389"/>
      <c r="AP16" s="4673"/>
      <c r="AQ16" s="4673"/>
      <c r="AR16" s="4673"/>
      <c r="AS16" s="4673"/>
      <c r="AT16" s="4673"/>
      <c r="AU16" s="4673"/>
      <c r="AV16" s="4673"/>
      <c r="AW16" s="4673"/>
      <c r="AX16" s="4673"/>
      <c r="AY16" s="1389"/>
      <c r="AZ16" s="1389"/>
      <c r="BB16" s="854"/>
      <c r="BC16" s="854" t="str">
        <f>IF(V16="","",V16)</f>
        <v>Добавить централизованную систему для дифференциации</v>
      </c>
      <c r="BD16" s="854"/>
      <c r="BE16" s="854"/>
      <c r="BF16" s="583">
        <v>0</v>
      </c>
    </row>
    <row s="4423"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167</v>
      </c>
      <c r="W17" s="1389"/>
      <c r="X17" s="1389"/>
      <c r="Y17" s="1389"/>
      <c r="Z17" s="1389"/>
      <c r="AA17" s="1389"/>
      <c r="AB17" s="1389"/>
      <c r="AC17" s="1389"/>
      <c r="AD17" s="1389"/>
      <c r="AE17" s="1389"/>
      <c r="AF17" s="1389"/>
      <c r="AG17" s="1389"/>
      <c r="AH17" s="1389"/>
      <c r="AI17" s="1389"/>
      <c r="AJ17" s="1389"/>
      <c r="AK17" s="1389"/>
      <c r="AL17" s="1389"/>
      <c r="AM17" s="1389"/>
      <c r="AN17" s="1389"/>
      <c r="AO17" s="1389"/>
      <c r="AP17" s="4673"/>
      <c r="AQ17" s="4673"/>
      <c r="AR17" s="4673"/>
      <c r="AS17" s="4673"/>
      <c r="AT17" s="4673"/>
      <c r="AU17" s="4673"/>
      <c r="AV17" s="4673"/>
      <c r="AW17" s="4673"/>
      <c r="AX17" s="4673"/>
      <c r="AY17" s="1389"/>
      <c r="AZ17" s="1389"/>
      <c r="BB17" s="854"/>
      <c r="BC17" s="854" t="str">
        <f>IF(V17="","",V17)</f>
        <v>Добавить территорию для дифференциации</v>
      </c>
      <c r="BD17" s="854"/>
      <c r="BE17" s="854"/>
      <c r="BF17" s="583">
        <v>0</v>
      </c>
    </row>
    <row customHeight="1" ht="14.25" hidden="1">
      <c r="AF18" s="392"/>
      <c r="AO18" s="392"/>
      <c r="AP18" s="4921"/>
      <c r="AQ18" s="4921"/>
      <c r="AR18" s="4921"/>
      <c r="AS18" s="4921"/>
      <c r="AT18" s="4921"/>
      <c r="AU18" s="4921"/>
      <c r="AV18" s="4921"/>
      <c r="AW18" s="4921"/>
      <c r="AX18" s="5908"/>
      <c r="BF18" s="1220">
        <v>0</v>
      </c>
    </row>
    <row customHeight="1" ht="14.25" hidden="1">
      <c r="AG19" s="1425"/>
      <c r="AH19" s="1425"/>
      <c r="AI19" s="1425"/>
      <c r="AJ19" s="1425"/>
      <c r="AK19" s="1426"/>
      <c r="AL19" s="2332"/>
      <c r="AM19" s="2333" t="s">
        <v>64</v>
      </c>
      <c r="AN19" s="2332"/>
      <c r="AO19" s="2333" t="s">
        <v>64</v>
      </c>
      <c r="AP19" s="4921"/>
      <c r="AQ19" s="4921"/>
      <c r="AR19" s="4921"/>
      <c r="AS19" s="4921"/>
      <c r="AT19" s="4921"/>
      <c r="AU19" s="4921"/>
      <c r="AV19" s="4921"/>
      <c r="AW19" s="4921"/>
      <c r="AX19" s="5908"/>
      <c r="BF19" s="1220">
        <v>0</v>
      </c>
    </row>
    <row customHeight="1" ht="14.25" hidden="1">
      <c r="AG20" s="1425"/>
      <c r="AH20" s="1425"/>
      <c r="AI20" s="1425"/>
      <c r="AJ20" s="1425"/>
      <c r="AK20" s="1426"/>
      <c r="AL20" s="2332"/>
      <c r="AM20" s="2333"/>
      <c r="AN20" s="2332"/>
      <c r="AO20" s="2333"/>
      <c r="AP20" s="4921"/>
      <c r="AQ20" s="4921"/>
      <c r="AR20" s="4921"/>
      <c r="AS20" s="4921"/>
      <c r="AT20" s="4921"/>
      <c r="AU20" s="4921"/>
      <c r="AV20" s="4921"/>
      <c r="AW20" s="4921"/>
      <c r="AX20" s="5908"/>
      <c r="BF20" s="1220">
        <v>0</v>
      </c>
    </row>
    <row customHeight="1" ht="14.25" hidden="1">
      <c r="AG21" s="1425"/>
      <c r="AH21" s="1425"/>
      <c r="AI21" s="1425"/>
      <c r="AJ21" s="1425"/>
      <c r="AK21" s="1426"/>
      <c r="AL21" s="2332"/>
      <c r="AM21" s="2333"/>
      <c r="AN21" s="2332"/>
      <c r="AO21" s="2333"/>
      <c r="AP21" s="4921"/>
      <c r="AQ21" s="4921"/>
      <c r="AR21" s="4921"/>
      <c r="AS21" s="4921"/>
      <c r="AT21" s="4921"/>
      <c r="AU21" s="4921"/>
      <c r="AV21" s="4921"/>
      <c r="AW21" s="4921"/>
      <c r="AX21" s="5908"/>
      <c r="BF21" s="1220">
        <v>0</v>
      </c>
    </row>
    <row customHeight="1" ht="14.25" hidden="1">
      <c r="AG22" s="1425"/>
      <c r="AH22" s="1425"/>
      <c r="AI22" s="1425"/>
      <c r="AJ22" s="1425"/>
      <c r="AK22" s="393" t="str">
        <f>AL19&amp;"-"&amp;AN19</f>
        <v>-</v>
      </c>
      <c r="AL22" s="2333"/>
      <c r="AM22" s="2333"/>
      <c r="AN22" s="2333"/>
      <c r="AO22" s="2333"/>
      <c r="AP22" s="4921"/>
      <c r="AQ22" s="4921"/>
      <c r="AR22" s="4921"/>
      <c r="AS22" s="4921"/>
      <c r="AT22" s="4921"/>
      <c r="AU22" s="4921"/>
      <c r="AV22" s="4921"/>
      <c r="AW22" s="4921"/>
      <c r="AX22" s="5908"/>
      <c r="BF22" s="1220">
        <v>0</v>
      </c>
    </row>
    <row customHeight="1" ht="14.25" hidden="1">
      <c r="AO23" s="392"/>
      <c r="AP23" s="4921"/>
      <c r="AQ23" s="4921"/>
      <c r="AR23" s="4921"/>
      <c r="AS23" s="4921"/>
      <c r="AT23" s="4921"/>
      <c r="AU23" s="4921"/>
      <c r="AV23" s="4921"/>
      <c r="AW23" s="4921"/>
      <c r="AX23" s="5908"/>
      <c r="BF23" s="1220">
        <v>0</v>
      </c>
    </row>
    <row s="4903" customFormat="1" customHeight="1" ht="22.5" hidden="1">
      <c r="A24" s="1220"/>
      <c r="B24" s="1220"/>
      <c r="C24" s="1220"/>
      <c r="D24" s="1220"/>
      <c r="E24" s="1220"/>
      <c r="F24" s="1220"/>
      <c r="G24" s="1220"/>
      <c r="H24" s="1220"/>
      <c r="I24" s="1220"/>
      <c r="J24" s="1220"/>
      <c r="K24" s="1220"/>
      <c r="L24" s="1220"/>
      <c r="M24" s="1392"/>
      <c r="N24" s="1393"/>
      <c r="O24" s="1393"/>
      <c r="P24" s="1410" t="s">
        <v>433</v>
      </c>
      <c r="Q24" s="1427"/>
      <c r="R24" s="1436"/>
      <c r="S24" s="1436"/>
      <c r="T24" s="1436"/>
      <c r="U24" s="794"/>
      <c r="AC24" s="1432"/>
      <c r="AE24" s="1432"/>
      <c r="AF24" s="1431"/>
      <c r="AL24" s="1432"/>
      <c r="AN24" s="1432"/>
      <c r="AO24" s="1431"/>
      <c r="AP24" s="4903"/>
      <c r="AQ24" s="4903"/>
      <c r="AR24" s="4903"/>
      <c r="AS24" s="4903"/>
      <c r="AT24" s="4903"/>
      <c r="AU24" s="3715"/>
      <c r="AV24" s="4903"/>
      <c r="AW24" s="3715"/>
      <c r="AX24" s="5925"/>
      <c r="BA24" s="576"/>
      <c r="BB24" s="576"/>
      <c r="BC24" s="576"/>
      <c r="BD24" s="576"/>
      <c r="BE24" s="576"/>
      <c r="BF24" s="1225">
        <v>0</v>
      </c>
    </row>
    <row s="4903"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P25" s="4903"/>
      <c r="AQ25" s="4903"/>
      <c r="AR25" s="4903"/>
      <c r="AS25" s="4903"/>
      <c r="AT25" s="4903"/>
      <c r="AU25" s="4903"/>
      <c r="AV25" s="4903"/>
      <c r="AW25" s="4903"/>
      <c r="AX25" s="5925"/>
      <c r="BA25" s="576"/>
      <c r="BB25" s="576"/>
      <c r="BC25" s="576"/>
      <c r="BD25" s="576"/>
      <c r="BE25" s="576"/>
      <c r="BF25" s="1225">
        <v>0</v>
      </c>
    </row>
    <row s="4903" customFormat="1" customHeight="1" ht="14.25" hidden="1">
      <c r="A26" s="1220"/>
      <c r="B26" s="1220"/>
      <c r="C26" s="1220"/>
      <c r="D26" s="1220"/>
      <c r="E26" s="1220"/>
      <c r="F26" s="1220"/>
      <c r="G26" s="1220"/>
      <c r="H26" s="1220"/>
      <c r="I26" s="1220"/>
      <c r="J26" s="1220"/>
      <c r="K26" s="1220"/>
      <c r="L26" s="1220"/>
      <c r="M26" s="1392"/>
      <c r="N26" s="1393"/>
      <c r="O26" s="1393"/>
      <c r="P26" s="1375" t="s">
        <v>434</v>
      </c>
      <c r="Q26" s="1427"/>
      <c r="R26" s="1436"/>
      <c r="S26" s="1436"/>
      <c r="T26" s="1436"/>
      <c r="U26" s="794"/>
      <c r="V26" s="1225" t="s">
        <v>435</v>
      </c>
      <c r="AD26" s="251" t="s">
        <v>436</v>
      </c>
      <c r="AF26" s="251" t="s">
        <v>437</v>
      </c>
      <c r="AG26" s="1225" t="s">
        <v>435</v>
      </c>
      <c r="AM26" s="251" t="s">
        <v>438</v>
      </c>
      <c r="AO26" s="251" t="s">
        <v>437</v>
      </c>
      <c r="AP26" s="4903"/>
      <c r="AQ26" s="4903"/>
      <c r="AR26" s="4903"/>
      <c r="AS26" s="4903"/>
      <c r="AT26" s="4903"/>
      <c r="AU26" s="4903"/>
      <c r="AV26" s="3726" t="s">
        <v>436</v>
      </c>
      <c r="AW26" s="4903"/>
      <c r="AX26" s="5926" t="s">
        <v>437</v>
      </c>
      <c r="BA26" s="576"/>
      <c r="BB26" s="576"/>
      <c r="BC26" s="576"/>
      <c r="BD26" s="576"/>
      <c r="BE26" s="576"/>
      <c r="BF26" s="1225">
        <v>0</v>
      </c>
    </row>
    <row customHeight="1" ht="14.25" hidden="1">
      <c r="P27" s="1375"/>
      <c r="AP27" s="4921"/>
      <c r="AQ27" s="4921"/>
      <c r="AR27" s="4921"/>
      <c r="AS27" s="4921"/>
      <c r="AT27" s="4921"/>
      <c r="AU27" s="4921"/>
      <c r="AV27" s="4921"/>
      <c r="AW27" s="4921"/>
      <c r="AX27" s="5908"/>
      <c r="BF27" s="1220">
        <v>0</v>
      </c>
    </row>
    <row customHeight="1" ht="14.25" hidden="1">
      <c r="P28" s="1375"/>
      <c r="AP28" s="4921"/>
      <c r="AQ28" s="4921"/>
      <c r="AR28" s="4921"/>
      <c r="AS28" s="4921"/>
      <c r="AT28" s="4921"/>
      <c r="AU28" s="4921"/>
      <c r="AV28" s="4921"/>
      <c r="AW28" s="4921"/>
      <c r="AX28" s="5908"/>
      <c r="BF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P29" s="4921"/>
      <c r="AQ29" s="4921"/>
      <c r="AR29" s="4921"/>
      <c r="AS29" s="4921"/>
      <c r="AT29" s="4921"/>
      <c r="AU29" s="4921"/>
      <c r="AV29" s="4921"/>
      <c r="AW29" s="4921"/>
      <c r="AX29" s="5908"/>
      <c r="BF29" s="1220">
        <v>14</v>
      </c>
    </row>
    <row customHeight="1" ht="56.699999999999996">
      <c r="R30" s="441"/>
      <c r="S30" s="441"/>
      <c r="T30" s="441"/>
      <c r="U30" s="231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P30" s="3722"/>
      <c r="AQ30" s="3722"/>
      <c r="AR30" s="3722"/>
      <c r="AS30" s="3722"/>
      <c r="AT30" s="3722"/>
      <c r="AU30" s="3722"/>
      <c r="AV30" s="3722"/>
      <c r="AW30" s="3722"/>
      <c r="AX30" s="5927"/>
      <c r="BF30" s="1220">
        <v>54</v>
      </c>
    </row>
    <row customHeight="1" ht="14.699999999999998">
      <c r="R31" s="441"/>
      <c r="S31" s="441"/>
      <c r="T31" s="441"/>
      <c r="U31" s="2314" t="str">
        <f>IF(org=0,"Не определено",org)</f>
        <v>Филиал ПАО "ОГК-2"-Ставропольская ГРЭС</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P31" s="3724"/>
      <c r="AQ31" s="3724"/>
      <c r="AR31" s="3724"/>
      <c r="AS31" s="3724"/>
      <c r="AT31" s="3724"/>
      <c r="AU31" s="3724"/>
      <c r="AV31" s="3724"/>
      <c r="AW31" s="3724"/>
      <c r="AX31" s="5928"/>
      <c r="BF31" s="1220">
        <v>14</v>
      </c>
    </row>
    <row customHeight="1" ht="14.25">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3725"/>
      <c r="AQ32" s="3725"/>
      <c r="AR32" s="3725"/>
      <c r="AS32" s="3725"/>
      <c r="AT32" s="3725"/>
      <c r="AU32" s="3725"/>
      <c r="AV32" s="3725"/>
      <c r="AW32" s="3725"/>
      <c r="AX32" s="5929"/>
      <c r="AY32" s="574"/>
      <c r="BF32" s="1220">
        <v>0</v>
      </c>
    </row>
    <row s="5485" customFormat="1" customHeight="1" ht="25.5">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Региональная тарифная комиссия Ставропольского края</v>
      </c>
      <c r="Y33" s="2316"/>
      <c r="Z33" s="2316"/>
      <c r="AA33" s="2316"/>
      <c r="AB33" s="2316"/>
      <c r="AC33" s="2316"/>
      <c r="AD33" s="2316"/>
      <c r="AE33" s="2316"/>
      <c r="AF33" s="391"/>
      <c r="AG33" s="2316" t="str">
        <f>IF(TITLE_NAME_OR_PR_CHANGE="",IF(TITLE_NAME_OR_PR="","",TITLE_NAME_OR_PR),TITLE_NAME_OR_PR_CHANGE)</f>
        <v>Региональная тарифная комиссия Ставропольского края</v>
      </c>
      <c r="AH33" s="2316"/>
      <c r="AI33" s="2316"/>
      <c r="AJ33" s="2316"/>
      <c r="AK33" s="2316"/>
      <c r="AL33" s="2316"/>
      <c r="AM33" s="2316"/>
      <c r="AN33" s="2316"/>
      <c r="AO33" s="391"/>
      <c r="AP33" s="5158" t="str">
        <f>IF(TITLE_NAME_OR_PR_CHANGE="",IF(TITLE_NAME_OR_PR="","",TITLE_NAME_OR_PR),TITLE_NAME_OR_PR_CHANGE)</f>
        <v>Региональная тарифная комиссия Ставропольского края</v>
      </c>
      <c r="AQ33" s="5158"/>
      <c r="AR33" s="5158"/>
      <c r="AS33" s="5158"/>
      <c r="AT33" s="5158"/>
      <c r="AU33" s="5158"/>
      <c r="AV33" s="5158"/>
      <c r="AW33" s="5158"/>
      <c r="AX33" s="5908"/>
      <c r="AY33" s="391"/>
      <c r="AZ33" s="345"/>
      <c r="BA33" s="433"/>
      <c r="BB33" s="433"/>
      <c r="BC33" s="433"/>
      <c r="BD33" s="433"/>
      <c r="BE33" s="433"/>
      <c r="BF33" s="483">
        <v>0</v>
      </c>
    </row>
    <row s="5485" customFormat="1" customHeight="1" ht="18.75">
      <c r="A34" s="1313"/>
      <c r="B34" s="1313"/>
      <c r="C34" s="1313"/>
      <c r="D34" s="1313"/>
      <c r="E34" s="1313"/>
      <c r="F34" s="1313"/>
      <c r="G34" s="1313"/>
      <c r="H34" s="1313"/>
      <c r="I34" s="1313"/>
      <c r="J34" s="1313"/>
      <c r="K34" s="1313"/>
      <c r="L34" s="1313"/>
      <c r="M34" s="1445"/>
      <c r="N34" s="1313"/>
      <c r="O34" s="1313"/>
      <c r="P34" s="1313"/>
      <c r="U34" s="2315" t="s">
        <v>439</v>
      </c>
      <c r="V34" s="2315"/>
      <c r="W34" s="1437"/>
      <c r="X34" s="2329" t="str">
        <f>IF(TITLE_DATE_PR_CHANGE="",IF(TITLE_DATE_PR="","",TITLE_DATE_PR),TITLE_DATE_PR_CHANGE)</f>
        <v>45643.434652777774</v>
      </c>
      <c r="Y34" s="2329"/>
      <c r="Z34" s="2329"/>
      <c r="AA34" s="2329"/>
      <c r="AB34" s="2329"/>
      <c r="AC34" s="2329"/>
      <c r="AD34" s="2329"/>
      <c r="AE34" s="2329"/>
      <c r="AF34" s="391"/>
      <c r="AG34" s="2329" t="str">
        <f>IF(TITLE_DATE_PR_CHANGE="",IF(TITLE_DATE_PR="","",TITLE_DATE_PR),TITLE_DATE_PR_CHANGE)</f>
        <v>45643.434652777774</v>
      </c>
      <c r="AH34" s="2329"/>
      <c r="AI34" s="2329"/>
      <c r="AJ34" s="2329"/>
      <c r="AK34" s="2329"/>
      <c r="AL34" s="2329"/>
      <c r="AM34" s="2329"/>
      <c r="AN34" s="2329"/>
      <c r="AO34" s="391"/>
      <c r="AP34" s="3735" t="str">
        <f>IF(TITLE_DATE_PR_CHANGE="",IF(TITLE_DATE_PR="","",TITLE_DATE_PR),TITLE_DATE_PR_CHANGE)</f>
        <v>45643.434652777774</v>
      </c>
      <c r="AQ34" s="3735"/>
      <c r="AR34" s="3735"/>
      <c r="AS34" s="3735"/>
      <c r="AT34" s="3735"/>
      <c r="AU34" s="3735"/>
      <c r="AV34" s="3735"/>
      <c r="AW34" s="3735"/>
      <c r="AX34" s="5908"/>
      <c r="AY34" s="391"/>
      <c r="AZ34" s="345"/>
      <c r="BA34" s="433"/>
      <c r="BB34" s="433"/>
      <c r="BC34" s="433"/>
      <c r="BD34" s="433"/>
      <c r="BE34" s="433"/>
      <c r="BF34" s="483">
        <v>0</v>
      </c>
    </row>
    <row s="5485" customFormat="1" customHeight="1" ht="18.75">
      <c r="A35" s="1313"/>
      <c r="B35" s="1313"/>
      <c r="C35" s="1313"/>
      <c r="D35" s="1313"/>
      <c r="E35" s="1313"/>
      <c r="F35" s="1313"/>
      <c r="G35" s="1313"/>
      <c r="H35" s="1313"/>
      <c r="I35" s="1313"/>
      <c r="J35" s="1313"/>
      <c r="K35" s="1313"/>
      <c r="L35" s="1313"/>
      <c r="M35" s="1445"/>
      <c r="N35" s="1313"/>
      <c r="O35" s="1313"/>
      <c r="P35" s="1313"/>
      <c r="U35" s="2315" t="s">
        <v>440</v>
      </c>
      <c r="V35" s="2315"/>
      <c r="W35" s="1437"/>
      <c r="X35" s="2316" t="str">
        <f>IF(TITLE_NUMBER_PR_CHANGE="",IF(TITLE_NUMBER_PR="","",TITLE_NUMBER_PR),TITLE_NUMBER_PR_CHANGE)</f>
        <v>71/2</v>
      </c>
      <c r="Y35" s="2316"/>
      <c r="Z35" s="2316"/>
      <c r="AA35" s="2316"/>
      <c r="AB35" s="2316"/>
      <c r="AC35" s="2316"/>
      <c r="AD35" s="2316"/>
      <c r="AE35" s="2316"/>
      <c r="AF35" s="391"/>
      <c r="AG35" s="2316" t="str">
        <f>IF(TITLE_NUMBER_PR_CHANGE="",IF(TITLE_NUMBER_PR="","",TITLE_NUMBER_PR),TITLE_NUMBER_PR_CHANGE)</f>
        <v>71/2</v>
      </c>
      <c r="AH35" s="2316"/>
      <c r="AI35" s="2316"/>
      <c r="AJ35" s="2316"/>
      <c r="AK35" s="2316"/>
      <c r="AL35" s="2316"/>
      <c r="AM35" s="2316"/>
      <c r="AN35" s="2316"/>
      <c r="AO35" s="391"/>
      <c r="AP35" s="5158" t="str">
        <f>IF(TITLE_NUMBER_PR_CHANGE="",IF(TITLE_NUMBER_PR="","",TITLE_NUMBER_PR),TITLE_NUMBER_PR_CHANGE)</f>
        <v>71/2</v>
      </c>
      <c r="AQ35" s="5158"/>
      <c r="AR35" s="5158"/>
      <c r="AS35" s="5158"/>
      <c r="AT35" s="5158"/>
      <c r="AU35" s="5158"/>
      <c r="AV35" s="5158"/>
      <c r="AW35" s="5158"/>
      <c r="AX35" s="5908"/>
      <c r="AY35" s="391"/>
      <c r="AZ35" s="345"/>
      <c r="BA35" s="433"/>
      <c r="BB35" s="433"/>
      <c r="BC35" s="433"/>
      <c r="BD35" s="433"/>
      <c r="BE35" s="433"/>
      <c r="BF35" s="483">
        <v>0</v>
      </c>
    </row>
    <row s="5485" customFormat="1" customHeight="1" ht="18.75">
      <c r="A36" s="1313"/>
      <c r="B36" s="1313"/>
      <c r="C36" s="1313"/>
      <c r="D36" s="1313"/>
      <c r="E36" s="1313"/>
      <c r="F36" s="1313"/>
      <c r="G36" s="1313"/>
      <c r="H36" s="1313"/>
      <c r="I36" s="1313"/>
      <c r="J36" s="1313"/>
      <c r="K36" s="1313"/>
      <c r="L36" s="1313"/>
      <c r="M36" s="1445"/>
      <c r="N36" s="1313"/>
      <c r="O36" s="1313"/>
      <c r="P36" s="1313"/>
      <c r="U36" s="2315" t="s">
        <v>44</v>
      </c>
      <c r="V36" s="2315"/>
      <c r="W36" s="1437"/>
      <c r="X36" s="2316" t="str">
        <f>IF(TITLE_IST_PUB_CHANGE="",IF(TITLE_IST_PUB="","",TITLE_IST_PUB),TITLE_IST_PUB_CHANGE)</f>
        <v>Официальный интернет-портал правовой информации Ставропольского края</v>
      </c>
      <c r="Y36" s="2316"/>
      <c r="Z36" s="2316"/>
      <c r="AA36" s="2316"/>
      <c r="AB36" s="2316"/>
      <c r="AC36" s="2316"/>
      <c r="AD36" s="2316"/>
      <c r="AE36" s="2316"/>
      <c r="AF36" s="391"/>
      <c r="AG36" s="2316" t="str">
        <f>IF(TITLE_IST_PUB_CHANGE="",IF(TITLE_IST_PUB="","",TITLE_IST_PUB),TITLE_IST_PUB_CHANGE)</f>
        <v>Официальный интернет-портал правовой информации Ставропольского края</v>
      </c>
      <c r="AH36" s="2316"/>
      <c r="AI36" s="2316"/>
      <c r="AJ36" s="2316"/>
      <c r="AK36" s="2316"/>
      <c r="AL36" s="2316"/>
      <c r="AM36" s="2316"/>
      <c r="AN36" s="2316"/>
      <c r="AO36" s="391"/>
      <c r="AP36" s="5158" t="str">
        <f>IF(TITLE_IST_PUB_CHANGE="",IF(TITLE_IST_PUB="","",TITLE_IST_PUB),TITLE_IST_PUB_CHANGE)</f>
        <v>Официальный интернет-портал правовой информации Ставропольского края</v>
      </c>
      <c r="AQ36" s="5158"/>
      <c r="AR36" s="5158"/>
      <c r="AS36" s="5158"/>
      <c r="AT36" s="5158"/>
      <c r="AU36" s="5158"/>
      <c r="AV36" s="5158"/>
      <c r="AW36" s="5158"/>
      <c r="AX36" s="5908"/>
      <c r="AY36" s="391"/>
      <c r="AZ36" s="345"/>
      <c r="BA36" s="433"/>
      <c r="BB36" s="433"/>
      <c r="BC36" s="433"/>
      <c r="BD36" s="433"/>
      <c r="BE36" s="433"/>
      <c r="BF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3725"/>
      <c r="AQ37" s="3725"/>
      <c r="AR37" s="3725"/>
      <c r="AS37" s="3725"/>
      <c r="AT37" s="3725"/>
      <c r="AU37" s="3725"/>
      <c r="AV37" s="3725"/>
      <c r="AW37" s="3725"/>
      <c r="AX37" s="5929"/>
      <c r="AY37" s="574"/>
      <c r="BF37" s="1220">
        <v>0</v>
      </c>
    </row>
    <row s="5485" customFormat="1" customHeight="1" ht="18.75" hidden="1">
      <c r="A38" s="1313"/>
      <c r="B38" s="1313"/>
      <c r="C38" s="1313"/>
      <c r="D38" s="1313"/>
      <c r="E38" s="1313"/>
      <c r="F38" s="1313"/>
      <c r="G38" s="1313"/>
      <c r="H38" s="1313"/>
      <c r="I38" s="1313"/>
      <c r="J38" s="1313"/>
      <c r="K38" s="1313"/>
      <c r="L38" s="1313"/>
      <c r="M38" s="1445"/>
      <c r="N38" s="1313"/>
      <c r="O38" s="1313"/>
      <c r="P38" s="1313"/>
      <c r="U38" s="2315" t="s">
        <v>441</v>
      </c>
      <c r="V38" s="2315"/>
      <c r="W38" s="1437"/>
      <c r="X38" s="2329" t="str">
        <f>IF(TITLE_DATE_PR_CHANGE="",IF(TITLE_DATE_PR="","",TITLE_DATE_PR),TITLE_DATE_PR_CHANGE)</f>
        <v>45643.434652777774</v>
      </c>
      <c r="Y38" s="2329"/>
      <c r="Z38" s="2329"/>
      <c r="AA38" s="2329"/>
      <c r="AB38" s="2329"/>
      <c r="AC38" s="2329"/>
      <c r="AD38" s="2329"/>
      <c r="AE38" s="2329"/>
      <c r="AF38" s="391"/>
      <c r="AG38" s="2329" t="str">
        <f>IF(TITLE_DATE_PR_CHANGE="",IF(TITLE_DATE_PR="","",TITLE_DATE_PR),TITLE_DATE_PR_CHANGE)</f>
        <v>45643.434652777774</v>
      </c>
      <c r="AH38" s="2329"/>
      <c r="AI38" s="2329"/>
      <c r="AJ38" s="2329"/>
      <c r="AK38" s="2329"/>
      <c r="AL38" s="2329"/>
      <c r="AM38" s="2329"/>
      <c r="AN38" s="2329"/>
      <c r="AO38" s="391"/>
      <c r="AP38" s="3735" t="str">
        <f>IF(TITLE_DATE_PR_CHANGE="",IF(TITLE_DATE_PR="","",TITLE_DATE_PR),TITLE_DATE_PR_CHANGE)</f>
        <v>45643.434652777774</v>
      </c>
      <c r="AQ38" s="3735"/>
      <c r="AR38" s="3735"/>
      <c r="AS38" s="3735"/>
      <c r="AT38" s="3735"/>
      <c r="AU38" s="3735"/>
      <c r="AV38" s="3735"/>
      <c r="AW38" s="3735"/>
      <c r="AX38" s="5908"/>
      <c r="AY38" s="391"/>
      <c r="AZ38" s="345"/>
      <c r="BA38" s="433"/>
      <c r="BB38" s="433"/>
      <c r="BC38" s="433"/>
      <c r="BD38" s="433"/>
      <c r="BE38" s="433"/>
      <c r="BF38" s="483">
        <v>0</v>
      </c>
    </row>
    <row s="5485" customFormat="1" customHeight="1" ht="18.75" hidden="1">
      <c r="A39" s="1313"/>
      <c r="B39" s="1313"/>
      <c r="C39" s="1313"/>
      <c r="D39" s="1313"/>
      <c r="E39" s="1313"/>
      <c r="F39" s="1313"/>
      <c r="G39" s="1313"/>
      <c r="H39" s="1313"/>
      <c r="I39" s="1313"/>
      <c r="J39" s="1313"/>
      <c r="K39" s="1313"/>
      <c r="L39" s="1313"/>
      <c r="M39" s="1445"/>
      <c r="N39" s="1313"/>
      <c r="O39" s="1313"/>
      <c r="P39" s="1313"/>
      <c r="U39" s="2315" t="s">
        <v>442</v>
      </c>
      <c r="V39" s="2315"/>
      <c r="W39" s="1437"/>
      <c r="X39" s="2316" t="str">
        <f>IF(TITLE_NUMBER_PR_CHANGE="",IF(TITLE_NUMBER_PR="","",TITLE_NUMBER_PR),TITLE_NUMBER_PR_CHANGE)</f>
        <v>71/2</v>
      </c>
      <c r="Y39" s="2316"/>
      <c r="Z39" s="2316"/>
      <c r="AA39" s="2316"/>
      <c r="AB39" s="2316"/>
      <c r="AC39" s="2316"/>
      <c r="AD39" s="2316"/>
      <c r="AE39" s="2316"/>
      <c r="AF39" s="391"/>
      <c r="AG39" s="2316" t="str">
        <f>IF(TITLE_NUMBER_PR_CHANGE="",IF(TITLE_NUMBER_PR="","",TITLE_NUMBER_PR),TITLE_NUMBER_PR_CHANGE)</f>
        <v>71/2</v>
      </c>
      <c r="AH39" s="2316"/>
      <c r="AI39" s="2316"/>
      <c r="AJ39" s="2316"/>
      <c r="AK39" s="2316"/>
      <c r="AL39" s="2316"/>
      <c r="AM39" s="2316"/>
      <c r="AN39" s="2316"/>
      <c r="AO39" s="391"/>
      <c r="AP39" s="5158" t="str">
        <f>IF(TITLE_NUMBER_PR_CHANGE="",IF(TITLE_NUMBER_PR="","",TITLE_NUMBER_PR),TITLE_NUMBER_PR_CHANGE)</f>
        <v>71/2</v>
      </c>
      <c r="AQ39" s="5158"/>
      <c r="AR39" s="5158"/>
      <c r="AS39" s="5158"/>
      <c r="AT39" s="5158"/>
      <c r="AU39" s="5158"/>
      <c r="AV39" s="5158"/>
      <c r="AW39" s="5158"/>
      <c r="AX39" s="5908"/>
      <c r="AY39" s="391"/>
      <c r="AZ39" s="345"/>
      <c r="BA39" s="433"/>
      <c r="BB39" s="433"/>
      <c r="BC39" s="433"/>
      <c r="BD39" s="433"/>
      <c r="BE39" s="433"/>
      <c r="BF39" s="483">
        <v>0</v>
      </c>
    </row>
    <row s="5485"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443</v>
      </c>
      <c r="AG40" s="391"/>
      <c r="AH40" s="391"/>
      <c r="AI40" s="391"/>
      <c r="AJ40" s="391"/>
      <c r="AK40" s="391"/>
      <c r="AL40" s="391"/>
      <c r="AM40" s="391"/>
      <c r="AN40" s="391"/>
      <c r="AO40" s="343" t="s">
        <v>443</v>
      </c>
      <c r="AP40" s="4921"/>
      <c r="AQ40" s="4921"/>
      <c r="AR40" s="4921"/>
      <c r="AS40" s="4921"/>
      <c r="AT40" s="4921"/>
      <c r="AU40" s="4921"/>
      <c r="AV40" s="4921"/>
      <c r="AW40" s="4921"/>
      <c r="AX40" s="5932" t="s">
        <v>443</v>
      </c>
      <c r="BA40" s="433"/>
      <c r="BB40" s="433"/>
      <c r="BC40" s="433"/>
      <c r="BD40" s="433"/>
      <c r="BE40" s="433"/>
      <c r="BF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P41" s="4227" t="s">
        <v>193</v>
      </c>
      <c r="AQ41" s="4227"/>
      <c r="AR41" s="4227"/>
      <c r="AS41" s="4227"/>
      <c r="AT41" s="4227"/>
      <c r="AU41" s="4227"/>
      <c r="AV41" s="4227"/>
      <c r="AW41" s="4227"/>
      <c r="AX41" s="5933"/>
      <c r="BF41" s="1220">
        <v>14</v>
      </c>
    </row>
    <row customHeight="1" ht="15">
      <c r="R42" s="441"/>
      <c r="S42" s="441"/>
      <c r="T42" s="441"/>
      <c r="U42" s="2192" t="s">
        <v>319</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5310" t="s">
        <v>319</v>
      </c>
      <c r="AQ42" s="5310"/>
      <c r="AR42" s="5310"/>
      <c r="AS42" s="5310"/>
      <c r="AT42" s="5310"/>
      <c r="AU42" s="5310"/>
      <c r="AV42" s="5310"/>
      <c r="AW42" s="5310"/>
      <c r="AX42" s="5934"/>
      <c r="AY42" s="2192"/>
      <c r="AZ42" s="2192"/>
      <c r="BF42" s="1220"/>
    </row>
    <row customHeight="1" ht="14.699999999999998">
      <c r="R43" s="441"/>
      <c r="S43" s="441"/>
      <c r="T43" s="441"/>
      <c r="U43" s="2338" t="s">
        <v>91</v>
      </c>
      <c r="V43" s="2274" t="s">
        <v>444</v>
      </c>
      <c r="W43" s="366"/>
      <c r="X43" s="2339" t="s">
        <v>445</v>
      </c>
      <c r="Y43" s="2356"/>
      <c r="Z43" s="2356"/>
      <c r="AA43" s="2356"/>
      <c r="AB43" s="2356"/>
      <c r="AC43" s="2340"/>
      <c r="AD43" s="2340"/>
      <c r="AE43" s="2341"/>
      <c r="AF43" s="2342" t="s">
        <v>446</v>
      </c>
      <c r="AG43" s="2339" t="s">
        <v>445</v>
      </c>
      <c r="AH43" s="2356"/>
      <c r="AI43" s="2356"/>
      <c r="AJ43" s="2356"/>
      <c r="AK43" s="2356"/>
      <c r="AL43" s="2340"/>
      <c r="AM43" s="2340"/>
      <c r="AN43" s="2341"/>
      <c r="AO43" s="2342" t="s">
        <v>447</v>
      </c>
      <c r="AP43" s="4660" t="s">
        <v>445</v>
      </c>
      <c r="AQ43" s="3836"/>
      <c r="AR43" s="3836"/>
      <c r="AS43" s="3836"/>
      <c r="AT43" s="3836"/>
      <c r="AU43" s="4661"/>
      <c r="AV43" s="4661"/>
      <c r="AW43" s="4662"/>
      <c r="AX43" s="5936" t="s">
        <v>446</v>
      </c>
      <c r="AY43" s="2345" t="s">
        <v>448</v>
      </c>
      <c r="AZ43" s="2192"/>
      <c r="BF43" s="1220">
        <v>14</v>
      </c>
    </row>
    <row customHeight="1" ht="35.699999999999996">
      <c r="R44" s="441"/>
      <c r="S44" s="441"/>
      <c r="T44" s="441"/>
      <c r="U44" s="2338"/>
      <c r="V44" s="2274"/>
      <c r="W44" s="1096"/>
      <c r="X44" s="2359" t="s">
        <v>475</v>
      </c>
      <c r="Y44" s="2377" t="s">
        <v>476</v>
      </c>
      <c r="Z44" s="2377"/>
      <c r="AA44" s="2377"/>
      <c r="AB44" s="2377"/>
      <c r="AC44" s="2359" t="s">
        <v>452</v>
      </c>
      <c r="AD44" s="2676"/>
      <c r="AE44" s="2379"/>
      <c r="AF44" s="2343"/>
      <c r="AG44" s="2359" t="s">
        <v>475</v>
      </c>
      <c r="AH44" s="2377" t="s">
        <v>476</v>
      </c>
      <c r="AI44" s="2377"/>
      <c r="AJ44" s="2377"/>
      <c r="AK44" s="2377"/>
      <c r="AL44" s="2359" t="s">
        <v>452</v>
      </c>
      <c r="AM44" s="2676"/>
      <c r="AN44" s="2379"/>
      <c r="AO44" s="2343"/>
      <c r="AP44" s="4502" t="s">
        <v>475</v>
      </c>
      <c r="AQ44" s="5310" t="s">
        <v>476</v>
      </c>
      <c r="AR44" s="5310"/>
      <c r="AS44" s="5310"/>
      <c r="AT44" s="5310"/>
      <c r="AU44" s="4502" t="s">
        <v>452</v>
      </c>
      <c r="AV44" s="4152"/>
      <c r="AW44" s="4387"/>
      <c r="AX44" s="5938"/>
      <c r="AY44" s="2346"/>
      <c r="AZ44" s="2192"/>
      <c r="BF44" s="1220">
        <v>34</v>
      </c>
    </row>
    <row customHeight="1" ht="14.699999999999998">
      <c r="R45" s="441"/>
      <c r="S45" s="441"/>
      <c r="T45" s="441"/>
      <c r="U45" s="2338"/>
      <c r="V45" s="2274"/>
      <c r="W45" s="1096"/>
      <c r="X45" s="2390"/>
      <c r="Y45" s="2382" t="s">
        <v>477</v>
      </c>
      <c r="Z45" s="2335" t="s">
        <v>478</v>
      </c>
      <c r="AA45" s="2385"/>
      <c r="AB45" s="2336"/>
      <c r="AC45" s="2360"/>
      <c r="AD45" s="2677"/>
      <c r="AE45" s="2381"/>
      <c r="AF45" s="2343"/>
      <c r="AG45" s="2390"/>
      <c r="AH45" s="2382" t="s">
        <v>477</v>
      </c>
      <c r="AI45" s="2335" t="s">
        <v>478</v>
      </c>
      <c r="AJ45" s="2385"/>
      <c r="AK45" s="2336"/>
      <c r="AL45" s="2360"/>
      <c r="AM45" s="2677"/>
      <c r="AN45" s="2381"/>
      <c r="AO45" s="2343"/>
      <c r="AP45" s="3899"/>
      <c r="AQ45" s="3900" t="s">
        <v>477</v>
      </c>
      <c r="AR45" s="4520" t="s">
        <v>478</v>
      </c>
      <c r="AS45" s="3901"/>
      <c r="AT45" s="4957"/>
      <c r="AU45" s="3841"/>
      <c r="AV45" s="4158"/>
      <c r="AW45" s="3903"/>
      <c r="AX45" s="5938"/>
      <c r="AY45" s="2346"/>
      <c r="AZ45" s="2192"/>
      <c r="BF45" s="1220">
        <v>14</v>
      </c>
    </row>
    <row customHeight="1" ht="27.299999999999997">
      <c r="R46" s="441"/>
      <c r="S46" s="441"/>
      <c r="T46" s="441"/>
      <c r="U46" s="2338"/>
      <c r="V46" s="2274"/>
      <c r="W46" s="1096"/>
      <c r="X46" s="2390"/>
      <c r="Y46" s="2383"/>
      <c r="Z46" s="2382" t="s">
        <v>479</v>
      </c>
      <c r="AA46" s="2335" t="s">
        <v>480</v>
      </c>
      <c r="AB46" s="2336"/>
      <c r="AC46" s="2382" t="s">
        <v>462</v>
      </c>
      <c r="AD46" s="2386" t="s">
        <v>463</v>
      </c>
      <c r="AE46" s="2387"/>
      <c r="AF46" s="2343"/>
      <c r="AG46" s="2390"/>
      <c r="AH46" s="2383"/>
      <c r="AI46" s="2382" t="s">
        <v>479</v>
      </c>
      <c r="AJ46" s="2335" t="s">
        <v>480</v>
      </c>
      <c r="AK46" s="2336"/>
      <c r="AL46" s="2382" t="s">
        <v>462</v>
      </c>
      <c r="AM46" s="2386" t="s">
        <v>463</v>
      </c>
      <c r="AN46" s="2387"/>
      <c r="AO46" s="2343"/>
      <c r="AP46" s="3899"/>
      <c r="AQ46" s="4950"/>
      <c r="AR46" s="3900" t="s">
        <v>479</v>
      </c>
      <c r="AS46" s="4520" t="s">
        <v>480</v>
      </c>
      <c r="AT46" s="4957"/>
      <c r="AU46" s="3900" t="s">
        <v>462</v>
      </c>
      <c r="AV46" s="3905" t="s">
        <v>463</v>
      </c>
      <c r="AW46" s="3906"/>
      <c r="AX46" s="5938"/>
      <c r="AY46" s="2346"/>
      <c r="AZ46" s="2192"/>
      <c r="BF46" s="1220">
        <v>26</v>
      </c>
    </row>
    <row customHeight="1" ht="65.25">
      <c r="A47" s="1324"/>
      <c r="B47" s="1324" t="s">
        <v>138</v>
      </c>
      <c r="C47" s="1324" t="s">
        <v>139</v>
      </c>
      <c r="D47" s="1324" t="s">
        <v>140</v>
      </c>
      <c r="E47" s="1375" t="s">
        <v>453</v>
      </c>
      <c r="F47" s="1375" t="s">
        <v>454</v>
      </c>
      <c r="G47" s="1375" t="s">
        <v>455</v>
      </c>
      <c r="H47" s="1375" t="s">
        <v>456</v>
      </c>
      <c r="I47" s="1375" t="s">
        <v>457</v>
      </c>
      <c r="J47" s="1375" t="s">
        <v>458</v>
      </c>
      <c r="K47" s="1375" t="s">
        <v>459</v>
      </c>
      <c r="L47" s="1375" t="s">
        <v>481</v>
      </c>
      <c r="M47" s="1375" t="s">
        <v>434</v>
      </c>
      <c r="R47" s="441"/>
      <c r="S47" s="441"/>
      <c r="T47" s="441"/>
      <c r="U47" s="2338"/>
      <c r="V47" s="2274"/>
      <c r="W47" s="367"/>
      <c r="X47" s="2360"/>
      <c r="Y47" s="2384"/>
      <c r="Z47" s="2384"/>
      <c r="AA47" s="1287" t="s">
        <v>482</v>
      </c>
      <c r="AB47" s="1287" t="s">
        <v>483</v>
      </c>
      <c r="AC47" s="2384"/>
      <c r="AD47" s="2388"/>
      <c r="AE47" s="2389"/>
      <c r="AF47" s="2344"/>
      <c r="AG47" s="2360"/>
      <c r="AH47" s="2384"/>
      <c r="AI47" s="2384"/>
      <c r="AJ47" s="1287" t="s">
        <v>482</v>
      </c>
      <c r="AK47" s="1287" t="s">
        <v>483</v>
      </c>
      <c r="AL47" s="2384"/>
      <c r="AM47" s="2388"/>
      <c r="AN47" s="2389"/>
      <c r="AO47" s="2344"/>
      <c r="AP47" s="3841"/>
      <c r="AQ47" s="5290"/>
      <c r="AR47" s="5290"/>
      <c r="AS47" s="5602" t="s">
        <v>482</v>
      </c>
      <c r="AT47" s="5602" t="s">
        <v>483</v>
      </c>
      <c r="AU47" s="5290"/>
      <c r="AV47" s="3908"/>
      <c r="AW47" s="3909"/>
      <c r="AX47" s="5940"/>
      <c r="AY47" s="2347"/>
      <c r="AZ47" s="2192"/>
      <c r="BF47" s="1220">
        <v>62</v>
      </c>
    </row>
    <row s="4094"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112</v>
      </c>
      <c r="V48" s="1320" t="s">
        <v>113</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5603">
        <f>OFFSET(AP48,0,-1)+1</f>
        <v>6</v>
      </c>
      <c r="AQ48" s="3845"/>
      <c r="AR48" s="3845"/>
      <c r="AS48" s="3845">
        <f>OFFSET(AS48,0,-1)+1</f>
        <v>1</v>
      </c>
      <c r="AT48" s="3845">
        <f>OFFSET(AT48,0,-1)+1</f>
        <v>2</v>
      </c>
      <c r="AU48" s="5603">
        <f>OFFSET(AU48,0,-1)+1</f>
        <v>3</v>
      </c>
      <c r="AV48" s="5603">
        <f>OFFSET(AV48,0,-1)+1</f>
        <v>4</v>
      </c>
      <c r="AW48" s="5603"/>
      <c r="AX48" s="5941">
        <f>OFFSET(AX48,0,-2)+1</f>
        <v>5</v>
      </c>
      <c r="AY48" s="1310">
        <f>OFFSET(AY48,0,-1)</f>
        <v>5</v>
      </c>
      <c r="AZ48" s="1400">
        <f>OFFSET(AZ48,0,-1)+1</f>
        <v>6</v>
      </c>
      <c r="BA48" s="576"/>
      <c r="BB48" s="576"/>
      <c r="BC48" s="576"/>
      <c r="BD48" s="576"/>
      <c r="BE48" s="576"/>
      <c r="BF48" s="561">
        <v>0</v>
      </c>
    </row>
    <row customHeight="1" ht="22.049999999999997">
      <c r="A49" s="1332" t="s">
        <v>189</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1</v>
      </c>
      <c r="V49" s="363" t="s">
        <v>126</v>
      </c>
      <c r="W49" s="365"/>
      <c r="X49" s="2307"/>
      <c r="Y49" s="2308"/>
      <c r="Z49" s="2308"/>
      <c r="AA49" s="2308"/>
      <c r="AB49" s="2308"/>
      <c r="AC49" s="2308"/>
      <c r="AD49" s="2308"/>
      <c r="AE49" s="2308"/>
      <c r="AF49" s="2309"/>
      <c r="AG49" s="2307" t="str">
        <f>INDEX(PT_DIFFERENTIATION_NTAR,MATCH(A49,PT_DIFFERENTIATION_NTAR_ID,0))</f>
        <v>Тариф на горячую воду, поставляемую потребителям с коллекторов</v>
      </c>
      <c r="AH49" s="2308"/>
      <c r="AI49" s="2308"/>
      <c r="AJ49" s="2308"/>
      <c r="AK49" s="2308"/>
      <c r="AL49" s="2308"/>
      <c r="AM49" s="2308"/>
      <c r="AN49" s="2308"/>
      <c r="AO49" s="2308"/>
      <c r="AP49" s="3922"/>
      <c r="AQ49" s="4210"/>
      <c r="AR49" s="4210"/>
      <c r="AS49" s="4210"/>
      <c r="AT49" s="4210"/>
      <c r="AU49" s="4210"/>
      <c r="AV49" s="4210"/>
      <c r="AW49" s="4210"/>
      <c r="AX49" s="5910"/>
      <c r="AY49" s="2309"/>
      <c r="AZ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65"/>
      <c r="BC49" s="565" t="str">
        <f>IF(V49="","",V49)</f>
        <v>Наименование тарифа</v>
      </c>
      <c r="BD49" s="565"/>
      <c r="BE49" s="565"/>
      <c r="BF49" s="1220">
        <v>21</v>
      </c>
    </row>
    <row customHeight="1" ht="22.049999999999997">
      <c r="A50" s="1332" t="s">
        <v>189</v>
      </c>
      <c r="B50" s="1332" t="s">
        <v>190</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1.1</v>
      </c>
      <c r="V50" s="373" t="s">
        <v>416</v>
      </c>
      <c r="W50" s="365"/>
      <c r="X50" s="2307"/>
      <c r="Y50" s="2308"/>
      <c r="Z50" s="2308"/>
      <c r="AA50" s="2308"/>
      <c r="AB50" s="2308"/>
      <c r="AC50" s="2308"/>
      <c r="AD50" s="2308"/>
      <c r="AE50" s="2308"/>
      <c r="AF50" s="2309"/>
      <c r="AG50" s="2307" t="str">
        <f>INDEX(PT_DIFFERENTIATION_TER,MATCH(B50,PT_DIFFERENTIATION_TER_ID,0))</f>
        <v>без дифференциации</v>
      </c>
      <c r="AH50" s="2308"/>
      <c r="AI50" s="2308"/>
      <c r="AJ50" s="2308"/>
      <c r="AK50" s="2308"/>
      <c r="AL50" s="2308"/>
      <c r="AM50" s="2308"/>
      <c r="AN50" s="2308"/>
      <c r="AO50" s="2308"/>
      <c r="AP50" s="3922"/>
      <c r="AQ50" s="4210"/>
      <c r="AR50" s="4210"/>
      <c r="AS50" s="4210"/>
      <c r="AT50" s="4210"/>
      <c r="AU50" s="4210"/>
      <c r="AV50" s="4210"/>
      <c r="AW50" s="4210"/>
      <c r="AX50" s="5910"/>
      <c r="AY50" s="2309"/>
      <c r="AZ50" s="1323" t="s">
        <v>417</v>
      </c>
      <c r="BB50" s="565"/>
      <c r="BC50" s="565" t="str">
        <f>IF(V50="","",V50)</f>
        <v>Территория действия тарифа</v>
      </c>
      <c r="BD50" s="565"/>
      <c r="BE50" s="565"/>
      <c r="BF50" s="1220">
        <v>21</v>
      </c>
    </row>
    <row customHeight="1" ht="24">
      <c r="A51" s="1332" t="s">
        <v>189</v>
      </c>
      <c r="B51" s="1332" t="s">
        <v>190</v>
      </c>
      <c r="C51" s="1332" t="s">
        <v>191</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1.1.1</v>
      </c>
      <c r="V51" s="374" t="s">
        <v>418</v>
      </c>
      <c r="W51" s="365"/>
      <c r="X51" s="2307"/>
      <c r="Y51" s="2308"/>
      <c r="Z51" s="2308"/>
      <c r="AA51" s="2308"/>
      <c r="AB51" s="2308"/>
      <c r="AC51" s="2308"/>
      <c r="AD51" s="2308"/>
      <c r="AE51" s="2308"/>
      <c r="AF51" s="2309"/>
      <c r="AG51" s="2307" t="str">
        <f>INDEX(PT_DIFFERENTIATION_CS,MATCH(C51,PT_DIFFERENTIATION_CS_ID,0))</f>
        <v>без дифференциации</v>
      </c>
      <c r="AH51" s="2308"/>
      <c r="AI51" s="2308"/>
      <c r="AJ51" s="2308"/>
      <c r="AK51" s="2308"/>
      <c r="AL51" s="2308"/>
      <c r="AM51" s="2308"/>
      <c r="AN51" s="2308"/>
      <c r="AO51" s="2308"/>
      <c r="AP51" s="3922"/>
      <c r="AQ51" s="4210"/>
      <c r="AR51" s="4210"/>
      <c r="AS51" s="4210"/>
      <c r="AT51" s="4210"/>
      <c r="AU51" s="4210"/>
      <c r="AV51" s="4210"/>
      <c r="AW51" s="4210"/>
      <c r="AX51" s="5910"/>
      <c r="AY51" s="2309"/>
      <c r="AZ51" s="1323" t="s">
        <v>419</v>
      </c>
      <c r="BB51" s="565"/>
      <c r="BC51" s="565" t="str">
        <f>IF(V51="","",V51)</f>
        <v>Наименование системы теплоснабжения </v>
      </c>
      <c r="BD51" s="565"/>
      <c r="BE51" s="565"/>
      <c r="BF51" s="1220">
        <v>23</v>
      </c>
    </row>
    <row customHeight="1" ht="22.049999999999997">
      <c r="A52" s="1332" t="s">
        <v>189</v>
      </c>
      <c r="B52" s="1332" t="s">
        <v>190</v>
      </c>
      <c r="C52" s="1332" t="s">
        <v>191</v>
      </c>
      <c r="D52" s="1332" t="s">
        <v>192</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1.1.1.1</v>
      </c>
      <c r="V52" s="375" t="s">
        <v>420</v>
      </c>
      <c r="W52" s="365"/>
      <c r="X52" s="2307"/>
      <c r="Y52" s="2308"/>
      <c r="Z52" s="2308"/>
      <c r="AA52" s="2308"/>
      <c r="AB52" s="2308"/>
      <c r="AC52" s="2308"/>
      <c r="AD52" s="2308"/>
      <c r="AE52" s="2308"/>
      <c r="AF52" s="2309"/>
      <c r="AG52" s="2307" t="str">
        <f>INDEX(PT_DIFFERENTIATION_IST_TE,MATCH(D52,PT_DIFFERENTIATION_IST_TE_ID,0))</f>
        <v>без дифференциации</v>
      </c>
      <c r="AH52" s="2308"/>
      <c r="AI52" s="2308"/>
      <c r="AJ52" s="2308"/>
      <c r="AK52" s="2308"/>
      <c r="AL52" s="2308"/>
      <c r="AM52" s="2308"/>
      <c r="AN52" s="2308"/>
      <c r="AO52" s="2308"/>
      <c r="AP52" s="3922"/>
      <c r="AQ52" s="4210"/>
      <c r="AR52" s="4210"/>
      <c r="AS52" s="4210"/>
      <c r="AT52" s="4210"/>
      <c r="AU52" s="4210"/>
      <c r="AV52" s="4210"/>
      <c r="AW52" s="4210"/>
      <c r="AX52" s="5910"/>
      <c r="AY52" s="2309"/>
      <c r="AZ52" s="1323" t="s">
        <v>421</v>
      </c>
      <c r="BB52" s="565"/>
      <c r="BC52" s="565" t="str">
        <f>IF(V52="","",V52)</f>
        <v>Источник тепловой энергии  </v>
      </c>
      <c r="BD52" s="565"/>
      <c r="BE52" s="565"/>
      <c r="BF52" s="1220">
        <v>21</v>
      </c>
    </row>
    <row s="4423" customFormat="1" customHeight="1" ht="0">
      <c r="A53" s="1440" t="s">
        <v>189</v>
      </c>
      <c r="B53" s="1440" t="s">
        <v>190</v>
      </c>
      <c r="C53" s="1440" t="s">
        <v>191</v>
      </c>
      <c r="D53" s="1440" t="s">
        <v>192</v>
      </c>
      <c r="E53" s="2355"/>
      <c r="F53" s="2355"/>
      <c r="G53" s="2355"/>
      <c r="H53" s="2376"/>
      <c r="I53" s="2192" t="str">
        <f>U52&amp;".1"</f>
        <v>1.1.1.1.1</v>
      </c>
      <c r="J53" s="1440"/>
      <c r="K53" s="1440"/>
      <c r="L53" s="1440"/>
      <c r="M53" s="1446" t="s">
        <v>422</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3947"/>
      <c r="AQ53" s="4212"/>
      <c r="AR53" s="4212"/>
      <c r="AS53" s="4212"/>
      <c r="AT53" s="4212"/>
      <c r="AU53" s="4212"/>
      <c r="AV53" s="4212"/>
      <c r="AW53" s="4212"/>
      <c r="AX53" s="5956"/>
      <c r="AY53" s="2363"/>
      <c r="AZ53" s="1450"/>
      <c r="BB53" s="565"/>
      <c r="BC53" s="565" t="str">
        <f>IF(V53="","",V53)</f>
        <v/>
      </c>
      <c r="BD53" s="565"/>
      <c r="BE53" s="565"/>
      <c r="BF53" s="576">
        <v>0</v>
      </c>
    </row>
    <row customHeight="1" ht="22.049999999999997">
      <c r="A54" s="1332" t="s">
        <v>189</v>
      </c>
      <c r="B54" s="1332" t="s">
        <v>190</v>
      </c>
      <c r="C54" s="1332" t="s">
        <v>191</v>
      </c>
      <c r="D54" s="1332" t="s">
        <v>192</v>
      </c>
      <c r="E54" s="2355"/>
      <c r="F54" s="2355"/>
      <c r="G54" s="2355"/>
      <c r="H54" s="2376"/>
      <c r="I54" s="2166"/>
      <c r="J54" s="2192" t="str">
        <f>I53&amp;".1"</f>
        <v>1.1.1.1.1.1</v>
      </c>
      <c r="K54" s="1332"/>
      <c r="L54" s="1332"/>
      <c r="M54" s="1375" t="s">
        <v>425</v>
      </c>
      <c r="Q54" s="2322"/>
      <c r="R54" s="2322">
        <v>1</v>
      </c>
      <c r="S54" s="583"/>
      <c r="T54" s="422"/>
      <c r="U54" s="1401" t="str">
        <f>$J54</f>
        <v>1.1.1.1.1.1</v>
      </c>
      <c r="V54" s="351" t="s">
        <v>426</v>
      </c>
      <c r="W54" s="365"/>
      <c r="X54" s="2310"/>
      <c r="Y54" s="2311"/>
      <c r="Z54" s="2311"/>
      <c r="AA54" s="2311"/>
      <c r="AB54" s="2311"/>
      <c r="AC54" s="2300"/>
      <c r="AD54" s="2300"/>
      <c r="AE54" s="2300"/>
      <c r="AF54" s="2373"/>
      <c r="AG54" s="2310" t="s">
        <v>465</v>
      </c>
      <c r="AH54" s="2311"/>
      <c r="AI54" s="2311"/>
      <c r="AJ54" s="2311"/>
      <c r="AK54" s="2311"/>
      <c r="AL54" s="2311"/>
      <c r="AM54" s="2311"/>
      <c r="AN54" s="2311"/>
      <c r="AO54" s="2311"/>
      <c r="AP54" s="5289"/>
      <c r="AQ54" s="3956"/>
      <c r="AR54" s="3956"/>
      <c r="AS54" s="3956"/>
      <c r="AT54" s="3956"/>
      <c r="AU54" s="3957"/>
      <c r="AV54" s="3957"/>
      <c r="AW54" s="3957"/>
      <c r="AX54" s="5962"/>
      <c r="AY54" s="2312"/>
      <c r="AZ54" s="1323" t="s">
        <v>427</v>
      </c>
      <c r="BB54" s="565"/>
      <c r="BC54" s="565" t="str">
        <f>IF(V54="","",V54)</f>
        <v>Группа потребителей</v>
      </c>
      <c r="BD54" s="565"/>
      <c r="BE54" s="565"/>
      <c r="BF54" s="1220">
        <v>21</v>
      </c>
    </row>
    <row customHeight="1" ht="22.049999999999997">
      <c r="A55" s="1332" t="s">
        <v>189</v>
      </c>
      <c r="B55" s="1332" t="s">
        <v>190</v>
      </c>
      <c r="C55" s="1332" t="s">
        <v>191</v>
      </c>
      <c r="D55" s="1332" t="s">
        <v>192</v>
      </c>
      <c r="E55" s="2355"/>
      <c r="F55" s="2355"/>
      <c r="G55" s="2355"/>
      <c r="H55" s="2376"/>
      <c r="I55" s="2166"/>
      <c r="J55" s="2166"/>
      <c r="K55" s="2192" t="str">
        <f>J54&amp;".1"</f>
        <v>1.1.1.1.1.1.1</v>
      </c>
      <c r="L55" s="204"/>
      <c r="M55" s="1375" t="s">
        <v>428</v>
      </c>
      <c r="Q55" s="2322"/>
      <c r="R55" s="2322"/>
      <c r="S55" s="583">
        <v>1</v>
      </c>
      <c r="T55" s="422"/>
      <c r="U55" s="1401" t="str">
        <f>$K55</f>
        <v>1.1.1.1.1.1.1</v>
      </c>
      <c r="V55" s="1412" t="s">
        <v>466</v>
      </c>
      <c r="W55" s="365"/>
      <c r="X55" s="816"/>
      <c r="Y55" s="816"/>
      <c r="Z55" s="816"/>
      <c r="AA55" s="816"/>
      <c r="AB55" s="1470"/>
      <c r="AC55" s="2330"/>
      <c r="AD55" s="2172" t="s">
        <v>64</v>
      </c>
      <c r="AE55" s="2330"/>
      <c r="AF55" s="2172" t="s">
        <v>64</v>
      </c>
      <c r="AG55" s="1472"/>
      <c r="AH55" s="816">
        <v>101.12</v>
      </c>
      <c r="AI55" s="816">
        <v>1442.09</v>
      </c>
      <c r="AJ55" s="816"/>
      <c r="AK55" s="1322"/>
      <c r="AL55" s="3779">
        <v>45658.53099537037</v>
      </c>
      <c r="AM55" s="2172" t="s">
        <v>64</v>
      </c>
      <c r="AN55" s="5608">
        <v>45838.53104166667</v>
      </c>
      <c r="AO55" s="2172" t="s">
        <v>64</v>
      </c>
      <c r="AP55" s="4296"/>
      <c r="AQ55" s="4296">
        <v>117.29</v>
      </c>
      <c r="AR55" s="4296">
        <v>1761.05</v>
      </c>
      <c r="AS55" s="4296"/>
      <c r="AT55" s="3963"/>
      <c r="AU55" s="5608">
        <v>45839.40144675926</v>
      </c>
      <c r="AV55" s="4650" t="s">
        <v>64</v>
      </c>
      <c r="AW55" s="5608">
        <v>46022.401550925926</v>
      </c>
      <c r="AX55" s="4650" t="s">
        <v>64</v>
      </c>
      <c r="AY55" s="1413"/>
      <c r="AZ55" s="1372" t="s">
        <v>472</v>
      </c>
      <c r="BA55" s="576">
        <f>STRCHECKDATE(X57:AY57)</f>
      </c>
      <c r="BB55" s="565"/>
      <c r="BC55" s="565" t="str">
        <f>IF(V55="","",V55)</f>
        <v>вода</v>
      </c>
      <c r="BD55" s="565"/>
      <c r="BE55" s="565"/>
      <c r="BF55" s="1220">
        <v>21</v>
      </c>
    </row>
    <row customHeight="1" ht="11.549999999999999">
      <c r="A56" s="1332" t="s">
        <v>189</v>
      </c>
      <c r="B56" s="1332" t="s">
        <v>190</v>
      </c>
      <c r="C56" s="1332" t="s">
        <v>191</v>
      </c>
      <c r="D56" s="1332" t="s">
        <v>192</v>
      </c>
      <c r="E56" s="2355"/>
      <c r="F56" s="2355"/>
      <c r="G56" s="2355"/>
      <c r="H56" s="2376"/>
      <c r="I56" s="2166"/>
      <c r="J56" s="2166"/>
      <c r="K56" s="2166"/>
      <c r="L56" s="2192" t="str">
        <f>K55&amp;".1"</f>
        <v>1.1.1.1.1.1.1.1</v>
      </c>
      <c r="M56" s="1375"/>
      <c r="Q56" s="2322"/>
      <c r="R56" s="2322"/>
      <c r="S56" s="583">
        <v>1</v>
      </c>
      <c r="T56" s="422"/>
      <c r="U56" s="1401" t="str">
        <f>$L56</f>
        <v>1.1.1.1.1.1.1.1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3966"/>
      <c r="AQ56" s="4296"/>
      <c r="AR56" s="4296"/>
      <c r="AS56" s="4296"/>
      <c r="AT56" s="3963"/>
      <c r="AU56" s="5453"/>
      <c r="AV56" s="4650"/>
      <c r="AW56" s="5453"/>
      <c r="AX56" s="4650"/>
      <c r="AY56" s="1413"/>
      <c r="AZ56" s="2318" t="s">
        <v>473</v>
      </c>
      <c r="BA56" s="576">
        <f>STRCHECKDATE(X58:AY58)</f>
      </c>
      <c r="BB56" s="565"/>
      <c r="BC56" s="565" t="str">
        <f>IF(V56="","",V56)</f>
        <v/>
      </c>
      <c r="BD56" s="565"/>
      <c r="BE56" s="565"/>
      <c r="BF56" s="1220">
        <v>11</v>
      </c>
    </row>
    <row customHeight="1" ht="0">
      <c r="A57" s="1332" t="s">
        <v>189</v>
      </c>
      <c r="B57" s="1332" t="s">
        <v>190</v>
      </c>
      <c r="C57" s="1332" t="s">
        <v>191</v>
      </c>
      <c r="D57" s="1332" t="s">
        <v>192</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45658.53099537037-45838.53104166667</v>
      </c>
      <c r="AL57" s="2374"/>
      <c r="AM57" s="2172"/>
      <c r="AN57" s="2374"/>
      <c r="AO57" s="2172"/>
      <c r="AP57" s="3966"/>
      <c r="AQ57" s="3966"/>
      <c r="AR57" s="3966"/>
      <c r="AS57" s="3966"/>
      <c r="AT57" s="3974" t="str">
        <f>AU55&amp;"-"&amp;AW55</f>
        <v>45839.40144675926-46022.401550925926</v>
      </c>
      <c r="AU57" s="5453"/>
      <c r="AV57" s="4650"/>
      <c r="AW57" s="5453"/>
      <c r="AX57" s="4650"/>
      <c r="AY57" s="1414"/>
      <c r="AZ57" s="2319"/>
      <c r="BB57" s="565"/>
      <c r="BC57" s="565" t="str">
        <f>IF(V57="","",V57)</f>
        <v/>
      </c>
      <c r="BD57" s="565"/>
      <c r="BE57" s="565"/>
      <c r="BF57" s="1220">
        <v>0</v>
      </c>
    </row>
    <row customHeight="1" ht="11.549999999999999">
      <c r="A58" s="1332" t="s">
        <v>189</v>
      </c>
      <c r="B58" s="1332" t="s">
        <v>190</v>
      </c>
      <c r="C58" s="1332" t="s">
        <v>191</v>
      </c>
      <c r="D58" s="1332" t="s">
        <v>192</v>
      </c>
      <c r="E58" s="2355"/>
      <c r="F58" s="2355"/>
      <c r="G58" s="2355"/>
      <c r="H58" s="2376"/>
      <c r="I58" s="2166"/>
      <c r="J58" s="2166"/>
      <c r="K58" s="2192"/>
      <c r="L58" s="1332"/>
      <c r="M58" s="1375"/>
      <c r="Q58" s="2322"/>
      <c r="R58" s="2322"/>
      <c r="S58" s="1396"/>
      <c r="T58" s="421"/>
      <c r="U58" s="1343"/>
      <c r="V58" s="353" t="s">
        <v>474</v>
      </c>
      <c r="W58" s="432"/>
      <c r="X58" s="432"/>
      <c r="Y58" s="432"/>
      <c r="Z58" s="432"/>
      <c r="AA58" s="432"/>
      <c r="AB58" s="432"/>
      <c r="AC58" s="2374"/>
      <c r="AD58" s="2172"/>
      <c r="AE58" s="2374"/>
      <c r="AF58" s="2172"/>
      <c r="AG58" s="432"/>
      <c r="AH58" s="432"/>
      <c r="AI58" s="432"/>
      <c r="AJ58" s="432"/>
      <c r="AK58" s="432"/>
      <c r="AL58" s="2374"/>
      <c r="AM58" s="2172"/>
      <c r="AN58" s="2374"/>
      <c r="AO58" s="2172"/>
      <c r="AP58" s="5848"/>
      <c r="AQ58" s="5849"/>
      <c r="AR58" s="5850"/>
      <c r="AS58" s="5851"/>
      <c r="AT58" s="5852"/>
      <c r="AU58" s="5453"/>
      <c r="AV58" s="4650"/>
      <c r="AW58" s="5453"/>
      <c r="AX58" s="4650"/>
      <c r="AY58" s="389"/>
      <c r="AZ58" s="2319"/>
      <c r="BB58" s="565"/>
      <c r="BC58" s="565" t="str">
        <f>IF(V58="","",V58)</f>
        <v>Добавить наименование поставщика</v>
      </c>
      <c r="BD58" s="565"/>
      <c r="BE58" s="565"/>
      <c r="BF58" s="1220">
        <v>11</v>
      </c>
    </row>
    <row customHeight="1" ht="11.549999999999999">
      <c r="A59" s="1332" t="s">
        <v>189</v>
      </c>
      <c r="B59" s="1332" t="s">
        <v>190</v>
      </c>
      <c r="C59" s="1332" t="s">
        <v>191</v>
      </c>
      <c r="D59" s="1332" t="s">
        <v>192</v>
      </c>
      <c r="E59" s="2355"/>
      <c r="F59" s="2355"/>
      <c r="G59" s="2355"/>
      <c r="H59" s="2376"/>
      <c r="I59" s="2166"/>
      <c r="J59" s="2192"/>
      <c r="K59" s="1332"/>
      <c r="L59" s="1332"/>
      <c r="M59" s="1375"/>
      <c r="Q59" s="2322"/>
      <c r="R59" s="2322"/>
      <c r="S59" s="1396"/>
      <c r="T59" s="421"/>
      <c r="U59" s="1343"/>
      <c r="V59" s="352" t="s">
        <v>430</v>
      </c>
      <c r="W59" s="432"/>
      <c r="X59" s="432"/>
      <c r="Y59" s="432"/>
      <c r="Z59" s="432"/>
      <c r="AA59" s="432"/>
      <c r="AB59" s="432"/>
      <c r="AC59" s="1473"/>
      <c r="AD59" s="1473"/>
      <c r="AE59" s="1473"/>
      <c r="AF59" s="1473"/>
      <c r="AG59" s="432"/>
      <c r="AH59" s="432"/>
      <c r="AI59" s="432"/>
      <c r="AJ59" s="432"/>
      <c r="AK59" s="432"/>
      <c r="AL59" s="432"/>
      <c r="AM59" s="432"/>
      <c r="AN59" s="432"/>
      <c r="AO59" s="432"/>
      <c r="AP59" s="5853"/>
      <c r="AQ59" s="5854"/>
      <c r="AR59" s="5855"/>
      <c r="AS59" s="5856"/>
      <c r="AT59" s="5857"/>
      <c r="AU59" s="5858"/>
      <c r="AV59" s="5859"/>
      <c r="AW59" s="5860"/>
      <c r="AX59" s="5965"/>
      <c r="AY59" s="389"/>
      <c r="AZ59" s="2320"/>
      <c r="BB59" s="565"/>
      <c r="BC59" s="565" t="str">
        <f>IF(V59="","",V59)</f>
        <v>Добавить вид теплоносителя (параметры теплоносителя)</v>
      </c>
      <c r="BD59" s="565"/>
      <c r="BE59" s="565"/>
      <c r="BF59" s="1220">
        <v>11</v>
      </c>
    </row>
    <row customHeight="1" ht="11.549999999999999">
      <c r="A60" s="1332" t="s">
        <v>189</v>
      </c>
      <c r="B60" s="1332" t="s">
        <v>190</v>
      </c>
      <c r="C60" s="1332" t="s">
        <v>191</v>
      </c>
      <c r="D60" s="1332" t="s">
        <v>192</v>
      </c>
      <c r="E60" s="2355"/>
      <c r="F60" s="2355"/>
      <c r="G60" s="2355"/>
      <c r="H60" s="2376"/>
      <c r="I60" s="2192"/>
      <c r="J60" s="1332"/>
      <c r="K60" s="1332"/>
      <c r="L60" s="1332"/>
      <c r="M60" s="1375"/>
      <c r="Q60" s="2322"/>
      <c r="R60" s="1396"/>
      <c r="S60" s="1396"/>
      <c r="T60" s="421"/>
      <c r="U60" s="1343"/>
      <c r="V60" s="430" t="s">
        <v>431</v>
      </c>
      <c r="W60" s="432"/>
      <c r="X60" s="432"/>
      <c r="Y60" s="432"/>
      <c r="Z60" s="432"/>
      <c r="AA60" s="432"/>
      <c r="AB60" s="432"/>
      <c r="AC60" s="432"/>
      <c r="AD60" s="432"/>
      <c r="AE60" s="432"/>
      <c r="AF60" s="431"/>
      <c r="AG60" s="432"/>
      <c r="AH60" s="432"/>
      <c r="AI60" s="432"/>
      <c r="AJ60" s="432"/>
      <c r="AK60" s="432"/>
      <c r="AL60" s="432"/>
      <c r="AM60" s="432"/>
      <c r="AN60" s="432"/>
      <c r="AO60" s="431"/>
      <c r="AP60" s="5862"/>
      <c r="AQ60" s="5863"/>
      <c r="AR60" s="5864"/>
      <c r="AS60" s="5865"/>
      <c r="AT60" s="5866"/>
      <c r="AU60" s="5867"/>
      <c r="AV60" s="5868"/>
      <c r="AW60" s="5869"/>
      <c r="AX60" s="5966"/>
      <c r="AY60" s="432"/>
      <c r="AZ60" s="368"/>
      <c r="BB60" s="565"/>
      <c r="BC60" s="565" t="str">
        <f>IF(V60="","",V60)</f>
        <v>Добавить группу потребителей</v>
      </c>
      <c r="BD60" s="565"/>
      <c r="BE60" s="565"/>
      <c r="BF60" s="1220">
        <v>11</v>
      </c>
    </row>
    <row customHeight="1" ht="0">
      <c r="A61" s="1332" t="s">
        <v>189</v>
      </c>
      <c r="B61" s="1332" t="s">
        <v>190</v>
      </c>
      <c r="C61" s="1332" t="s">
        <v>191</v>
      </c>
      <c r="D61" s="1332" t="s">
        <v>192</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4088"/>
      <c r="AQ61" s="4088"/>
      <c r="AR61" s="4088"/>
      <c r="AS61" s="4088"/>
      <c r="AT61" s="4088"/>
      <c r="AU61" s="4088"/>
      <c r="AV61" s="4088"/>
      <c r="AW61" s="4088"/>
      <c r="AX61" s="4088"/>
      <c r="AY61" s="1453"/>
      <c r="AZ61" s="1454"/>
      <c r="BB61" s="565"/>
      <c r="BC61" s="565" t="str">
        <f>IF(V61="","",V61)</f>
        <v/>
      </c>
      <c r="BD61" s="565"/>
      <c r="BE61" s="565"/>
      <c r="BF61" s="1220">
        <v>0</v>
      </c>
    </row>
    <row s="4423" customFormat="1" customHeight="1" ht="0">
      <c r="A62" s="1440" t="s">
        <v>189</v>
      </c>
      <c r="B62" s="1440" t="s">
        <v>190</v>
      </c>
      <c r="C62" s="1440" t="s">
        <v>191</v>
      </c>
      <c r="D62" s="1439"/>
      <c r="E62" s="2355"/>
      <c r="F62" s="2355"/>
      <c r="G62" s="2354"/>
      <c r="H62" s="1439"/>
      <c r="I62" s="1439"/>
      <c r="J62" s="1439"/>
      <c r="K62" s="1439"/>
      <c r="L62" s="1439"/>
      <c r="M62" s="1442"/>
      <c r="N62" s="1443"/>
      <c r="O62" s="1443"/>
      <c r="P62" s="416"/>
      <c r="Q62" s="1381"/>
      <c r="R62" s="1382"/>
      <c r="S62" s="1381"/>
      <c r="T62" s="1381"/>
      <c r="U62" s="1387"/>
      <c r="V62" s="1390" t="s">
        <v>165</v>
      </c>
      <c r="W62" s="1389"/>
      <c r="X62" s="1389"/>
      <c r="Y62" s="1389"/>
      <c r="Z62" s="1389"/>
      <c r="AA62" s="1389"/>
      <c r="AB62" s="1389"/>
      <c r="AC62" s="1389"/>
      <c r="AD62" s="1389"/>
      <c r="AE62" s="1389"/>
      <c r="AF62" s="1389"/>
      <c r="AG62" s="1389"/>
      <c r="AH62" s="1389"/>
      <c r="AI62" s="1389"/>
      <c r="AJ62" s="1389"/>
      <c r="AK62" s="1389"/>
      <c r="AL62" s="1389"/>
      <c r="AM62" s="1389"/>
      <c r="AN62" s="1389"/>
      <c r="AO62" s="1389"/>
      <c r="AP62" s="4673"/>
      <c r="AQ62" s="4673"/>
      <c r="AR62" s="4673"/>
      <c r="AS62" s="4673"/>
      <c r="AT62" s="4673"/>
      <c r="AU62" s="4673"/>
      <c r="AV62" s="4673"/>
      <c r="AW62" s="4673"/>
      <c r="AX62" s="4673"/>
      <c r="AY62" s="1389"/>
      <c r="AZ62" s="1389"/>
      <c r="BB62" s="854"/>
      <c r="BC62" s="854" t="str">
        <f>IF(V62="","",V62)</f>
        <v>Добавить источник для дифференциации</v>
      </c>
      <c r="BD62" s="854"/>
      <c r="BE62" s="854"/>
      <c r="BF62" s="583">
        <v>0</v>
      </c>
    </row>
    <row s="4423" customFormat="1" customHeight="1" ht="0">
      <c r="A63" s="1440" t="s">
        <v>189</v>
      </c>
      <c r="B63" s="1440" t="s">
        <v>190</v>
      </c>
      <c r="C63" s="1439"/>
      <c r="D63" s="1439"/>
      <c r="E63" s="2355"/>
      <c r="F63" s="2354"/>
      <c r="G63" s="1439"/>
      <c r="H63" s="1439"/>
      <c r="I63" s="1439"/>
      <c r="J63" s="1439"/>
      <c r="K63" s="1439"/>
      <c r="L63" s="1439"/>
      <c r="M63" s="1442"/>
      <c r="N63" s="1444"/>
      <c r="O63" s="1444"/>
      <c r="P63" s="416"/>
      <c r="Q63" s="1381"/>
      <c r="R63" s="1382"/>
      <c r="S63" s="1381"/>
      <c r="T63" s="1381"/>
      <c r="U63" s="1387"/>
      <c r="V63" s="1390" t="s">
        <v>166</v>
      </c>
      <c r="W63" s="1389"/>
      <c r="X63" s="1389"/>
      <c r="Y63" s="1389"/>
      <c r="Z63" s="1389"/>
      <c r="AA63" s="1389"/>
      <c r="AB63" s="1389"/>
      <c r="AC63" s="1389"/>
      <c r="AD63" s="1389"/>
      <c r="AE63" s="1389"/>
      <c r="AF63" s="1389"/>
      <c r="AG63" s="1389"/>
      <c r="AH63" s="1389"/>
      <c r="AI63" s="1389"/>
      <c r="AJ63" s="1389"/>
      <c r="AK63" s="1389"/>
      <c r="AL63" s="1389"/>
      <c r="AM63" s="1389"/>
      <c r="AN63" s="1389"/>
      <c r="AO63" s="1389"/>
      <c r="AP63" s="4673"/>
      <c r="AQ63" s="4673"/>
      <c r="AR63" s="4673"/>
      <c r="AS63" s="4673"/>
      <c r="AT63" s="4673"/>
      <c r="AU63" s="4673"/>
      <c r="AV63" s="4673"/>
      <c r="AW63" s="4673"/>
      <c r="AX63" s="4673"/>
      <c r="AY63" s="1389"/>
      <c r="AZ63" s="1389"/>
      <c r="BB63" s="854"/>
      <c r="BC63" s="854" t="str">
        <f>IF(V63="","",V63)</f>
        <v>Добавить централизованную систему для дифференциации</v>
      </c>
      <c r="BD63" s="854"/>
      <c r="BE63" s="854"/>
      <c r="BF63" s="583">
        <v>0</v>
      </c>
    </row>
    <row s="4423" customFormat="1" customHeight="1" ht="0">
      <c r="A64" s="1440" t="s">
        <v>189</v>
      </c>
      <c r="B64" s="1440"/>
      <c r="C64" s="1440"/>
      <c r="D64" s="1440"/>
      <c r="E64" s="2354"/>
      <c r="F64" s="1440"/>
      <c r="G64" s="1440"/>
      <c r="H64" s="1440"/>
      <c r="I64" s="1440"/>
      <c r="J64" s="1440"/>
      <c r="K64" s="1440"/>
      <c r="L64" s="1440"/>
      <c r="M64" s="1446"/>
      <c r="N64" s="1444"/>
      <c r="O64" s="1444"/>
      <c r="P64" s="416"/>
      <c r="Q64" s="445"/>
      <c r="R64" s="1409"/>
      <c r="S64" s="445"/>
      <c r="T64" s="445"/>
      <c r="U64" s="1387"/>
      <c r="V64" s="1390" t="s">
        <v>167</v>
      </c>
      <c r="W64" s="1389"/>
      <c r="X64" s="1389"/>
      <c r="Y64" s="1389"/>
      <c r="Z64" s="1389"/>
      <c r="AA64" s="1389"/>
      <c r="AB64" s="1389"/>
      <c r="AC64" s="1389"/>
      <c r="AD64" s="1389"/>
      <c r="AE64" s="1389"/>
      <c r="AF64" s="1389"/>
      <c r="AG64" s="1389"/>
      <c r="AH64" s="1389"/>
      <c r="AI64" s="1389"/>
      <c r="AJ64" s="1389"/>
      <c r="AK64" s="1389"/>
      <c r="AL64" s="1389"/>
      <c r="AM64" s="1389"/>
      <c r="AN64" s="1389"/>
      <c r="AO64" s="1389"/>
      <c r="AP64" s="4673"/>
      <c r="AQ64" s="4673"/>
      <c r="AR64" s="4673"/>
      <c r="AS64" s="4673"/>
      <c r="AT64" s="4673"/>
      <c r="AU64" s="4673"/>
      <c r="AV64" s="4673"/>
      <c r="AW64" s="4673"/>
      <c r="AX64" s="4673"/>
      <c r="AY64" s="1389"/>
      <c r="AZ64" s="1389"/>
      <c r="BB64" s="565"/>
      <c r="BC64" s="565" t="str">
        <f>IF(V64="","",V64)</f>
        <v>Добавить территорию для дифференциации</v>
      </c>
      <c r="BD64" s="565"/>
      <c r="BE64" s="565"/>
      <c r="BF64" s="576">
        <v>0</v>
      </c>
    </row>
    <row s="5662" customFormat="1" customHeight="1" ht="21">
      <c r="A65" s="3286" t="s">
        <v>195</v>
      </c>
      <c r="B65" s="3286"/>
      <c r="C65" s="3286"/>
      <c r="D65" s="3286"/>
      <c r="E65" s="3913" t="s">
        <v>113</v>
      </c>
      <c r="F65" s="3286"/>
      <c r="G65" s="3286"/>
      <c r="H65" s="3286"/>
      <c r="I65" s="3286"/>
      <c r="J65" s="3286"/>
      <c r="K65" s="3286"/>
      <c r="L65" s="3286"/>
      <c r="M65" s="3914"/>
      <c r="N65" s="3915"/>
      <c r="O65" s="3915"/>
      <c r="P65" s="3915"/>
      <c r="Q65" s="3916"/>
      <c r="R65" s="3917"/>
      <c r="S65" s="3917"/>
      <c r="T65" s="3918"/>
      <c r="U65" s="3919" t="str">
        <f>INDEX(PT_DIFFERENTIATION_NUM_NTAR,MATCH(A65,PT_DIFFERENTIATION_NTAR_ID,0))</f>
        <v>2</v>
      </c>
      <c r="V65" s="3920" t="s">
        <v>126</v>
      </c>
      <c r="W65" s="3921"/>
      <c r="X65" s="3922"/>
      <c r="Y65" s="3923"/>
      <c r="Z65" s="3923"/>
      <c r="AA65" s="3923"/>
      <c r="AB65" s="3923"/>
      <c r="AC65" s="3923"/>
      <c r="AD65" s="3923"/>
      <c r="AE65" s="3923"/>
      <c r="AF65" s="3924"/>
      <c r="AG65" s="3922" t="str">
        <f>INDEX(PT_DIFFERENTIATION_NTAR,MATCH(A65,PT_DIFFERENTIATION_NTAR_ID,0))</f>
        <v>Тариф на горячую воду, поставляемую потребителям из тепловых сетей​</v>
      </c>
      <c r="AH65" s="3923"/>
      <c r="AI65" s="3923"/>
      <c r="AJ65" s="3923"/>
      <c r="AK65" s="3923"/>
      <c r="AL65" s="3923"/>
      <c r="AM65" s="3923"/>
      <c r="AN65" s="3923"/>
      <c r="AO65" s="3923"/>
      <c r="AP65" s="3922"/>
      <c r="AQ65" s="4210"/>
      <c r="AR65" s="4210"/>
      <c r="AS65" s="4210"/>
      <c r="AT65" s="4210"/>
      <c r="AU65" s="4210"/>
      <c r="AV65" s="4210"/>
      <c r="AW65" s="4210"/>
      <c r="AX65" s="5910"/>
      <c r="AY65" s="3924"/>
      <c r="AZ65" s="3925" t="s">
        <v>415</v>
      </c>
      <c r="BA65" s="3926"/>
      <c r="BB65" s="3927"/>
      <c r="BC65" s="3927" t="str">
        <f>IF(V65="","",V65)</f>
        <v>Наименование тарифа</v>
      </c>
      <c r="BD65" s="3927"/>
      <c r="BE65" s="3927"/>
      <c r="BF65" s="3928">
        <v>0</v>
      </c>
    </row>
    <row s="5662" customFormat="1" customHeight="1" ht="21">
      <c r="A66" s="3286"/>
      <c r="B66" s="3286" t="s">
        <v>196</v>
      </c>
      <c r="C66" s="3286"/>
      <c r="D66" s="3286"/>
      <c r="E66" s="3930">
        <v>1</v>
      </c>
      <c r="F66" s="3913">
        <v>1</v>
      </c>
      <c r="G66" s="3286"/>
      <c r="H66" s="3286"/>
      <c r="I66" s="3286"/>
      <c r="J66" s="3286"/>
      <c r="K66" s="3286"/>
      <c r="L66" s="3286"/>
      <c r="M66" s="3914"/>
      <c r="N66" s="3915"/>
      <c r="O66" s="3915"/>
      <c r="P66" s="3915"/>
      <c r="Q66" s="3931"/>
      <c r="R66" s="3932"/>
      <c r="S66" s="3928"/>
      <c r="T66" s="3933"/>
      <c r="U66" s="3919" t="str">
        <f>INDEX(PT_DIFFERENTIATION_NUM_TER,MATCH(B66,PT_DIFFERENTIATION_TER_ID,0))</f>
        <v>2.1</v>
      </c>
      <c r="V66" s="3934" t="s">
        <v>416</v>
      </c>
      <c r="W66" s="3921"/>
      <c r="X66" s="3922"/>
      <c r="Y66" s="3923"/>
      <c r="Z66" s="3923"/>
      <c r="AA66" s="3923"/>
      <c r="AB66" s="3923"/>
      <c r="AC66" s="3923"/>
      <c r="AD66" s="3923"/>
      <c r="AE66" s="3923"/>
      <c r="AF66" s="3924"/>
      <c r="AG66" s="3922" t="str">
        <f>INDEX(PT_DIFFERENTIATION_TER,MATCH(B66,PT_DIFFERENTIATION_TER_ID,0))</f>
        <v>без дифференциации</v>
      </c>
      <c r="AH66" s="3923"/>
      <c r="AI66" s="3923"/>
      <c r="AJ66" s="3923"/>
      <c r="AK66" s="3923"/>
      <c r="AL66" s="3923"/>
      <c r="AM66" s="3923"/>
      <c r="AN66" s="3923"/>
      <c r="AO66" s="3923"/>
      <c r="AP66" s="3922"/>
      <c r="AQ66" s="4210"/>
      <c r="AR66" s="4210"/>
      <c r="AS66" s="4210"/>
      <c r="AT66" s="4210"/>
      <c r="AU66" s="4210"/>
      <c r="AV66" s="4210"/>
      <c r="AW66" s="4210"/>
      <c r="AX66" s="5910"/>
      <c r="AY66" s="3924"/>
      <c r="AZ66" s="3925" t="s">
        <v>417</v>
      </c>
      <c r="BA66" s="3926"/>
      <c r="BB66" s="3927"/>
      <c r="BC66" s="3927" t="str">
        <f>IF(V66="","",V66)</f>
        <v>Территория действия тарифа</v>
      </c>
      <c r="BD66" s="3927"/>
      <c r="BE66" s="3927"/>
      <c r="BF66" s="3928">
        <v>0</v>
      </c>
    </row>
    <row s="5662" customFormat="1" customHeight="1" ht="22.5">
      <c r="A67" s="3286"/>
      <c r="B67" s="3286"/>
      <c r="C67" s="3286" t="s">
        <v>197</v>
      </c>
      <c r="D67" s="3286"/>
      <c r="E67" s="3930">
        <v>1</v>
      </c>
      <c r="F67" s="3930"/>
      <c r="G67" s="3913">
        <v>1</v>
      </c>
      <c r="H67" s="3286"/>
      <c r="I67" s="3286"/>
      <c r="J67" s="3286"/>
      <c r="K67" s="3286"/>
      <c r="L67" s="3286"/>
      <c r="M67" s="3914"/>
      <c r="N67" s="3915"/>
      <c r="O67" s="3915"/>
      <c r="P67" s="3915"/>
      <c r="Q67" s="3936"/>
      <c r="R67" s="3932"/>
      <c r="S67" s="3928"/>
      <c r="T67" s="3933"/>
      <c r="U67" s="3919" t="str">
        <f>INDEX(PT_DIFFERENTIATION_NUM_CS,MATCH(C67,PT_DIFFERENTIATION_CS_ID,0))</f>
        <v>2.1.1</v>
      </c>
      <c r="V67" s="3937" t="s">
        <v>418</v>
      </c>
      <c r="W67" s="3921"/>
      <c r="X67" s="3922"/>
      <c r="Y67" s="3923"/>
      <c r="Z67" s="3923"/>
      <c r="AA67" s="3923"/>
      <c r="AB67" s="3923"/>
      <c r="AC67" s="3923"/>
      <c r="AD67" s="3923"/>
      <c r="AE67" s="3923"/>
      <c r="AF67" s="3924"/>
      <c r="AG67" s="3922" t="str">
        <f>INDEX(PT_DIFFERENTIATION_CS,MATCH(C67,PT_DIFFERENTIATION_CS_ID,0))</f>
        <v>без дифференциации</v>
      </c>
      <c r="AH67" s="3923"/>
      <c r="AI67" s="3923"/>
      <c r="AJ67" s="3923"/>
      <c r="AK67" s="3923"/>
      <c r="AL67" s="3923"/>
      <c r="AM67" s="3923"/>
      <c r="AN67" s="3923"/>
      <c r="AO67" s="3923"/>
      <c r="AP67" s="3922"/>
      <c r="AQ67" s="4210"/>
      <c r="AR67" s="4210"/>
      <c r="AS67" s="4210"/>
      <c r="AT67" s="4210"/>
      <c r="AU67" s="4210"/>
      <c r="AV67" s="4210"/>
      <c r="AW67" s="4210"/>
      <c r="AX67" s="5910"/>
      <c r="AY67" s="3924"/>
      <c r="AZ67" s="3925" t="s">
        <v>419</v>
      </c>
      <c r="BA67" s="3926"/>
      <c r="BB67" s="3927"/>
      <c r="BC67" s="3927" t="str">
        <f>IF(V67="","",V67)</f>
        <v>Наименование системы теплоснабжения </v>
      </c>
      <c r="BD67" s="3927"/>
      <c r="BE67" s="3927"/>
      <c r="BF67" s="3928">
        <v>0</v>
      </c>
    </row>
    <row s="5662" customFormat="1" customHeight="1" ht="21">
      <c r="A68" s="3286"/>
      <c r="B68" s="3286"/>
      <c r="C68" s="3286"/>
      <c r="D68" s="3286" t="s">
        <v>198</v>
      </c>
      <c r="E68" s="3930">
        <v>1</v>
      </c>
      <c r="F68" s="3930"/>
      <c r="G68" s="3930"/>
      <c r="H68" s="3913">
        <v>1</v>
      </c>
      <c r="I68" s="3286"/>
      <c r="J68" s="3286"/>
      <c r="K68" s="3286"/>
      <c r="L68" s="3286"/>
      <c r="M68" s="3914"/>
      <c r="N68" s="3915"/>
      <c r="O68" s="3915"/>
      <c r="P68" s="3915"/>
      <c r="Q68" s="3936"/>
      <c r="R68" s="3932"/>
      <c r="S68" s="3928"/>
      <c r="T68" s="3933"/>
      <c r="U68" s="3919" t="str">
        <f>INDEX(PT_DIFFERENTIATION_NUM_IST_TE,MATCH(D68,PT_DIFFERENTIATION_IST_TE_ID,0))</f>
        <v>2.1.1.1</v>
      </c>
      <c r="V68" s="3939" t="s">
        <v>420</v>
      </c>
      <c r="W68" s="3921"/>
      <c r="X68" s="3922"/>
      <c r="Y68" s="3923"/>
      <c r="Z68" s="3923"/>
      <c r="AA68" s="3923"/>
      <c r="AB68" s="3923"/>
      <c r="AC68" s="3923"/>
      <c r="AD68" s="3923"/>
      <c r="AE68" s="3923"/>
      <c r="AF68" s="3924"/>
      <c r="AG68" s="3922" t="str">
        <f>INDEX(PT_DIFFERENTIATION_IST_TE,MATCH(D68,PT_DIFFERENTIATION_IST_TE_ID,0))</f>
        <v>без дифференциации</v>
      </c>
      <c r="AH68" s="3923"/>
      <c r="AI68" s="3923"/>
      <c r="AJ68" s="3923"/>
      <c r="AK68" s="3923"/>
      <c r="AL68" s="3923"/>
      <c r="AM68" s="3923"/>
      <c r="AN68" s="3923"/>
      <c r="AO68" s="3923"/>
      <c r="AP68" s="3922"/>
      <c r="AQ68" s="4210"/>
      <c r="AR68" s="4210"/>
      <c r="AS68" s="4210"/>
      <c r="AT68" s="4210"/>
      <c r="AU68" s="4210"/>
      <c r="AV68" s="4210"/>
      <c r="AW68" s="4210"/>
      <c r="AX68" s="5910"/>
      <c r="AY68" s="3924"/>
      <c r="AZ68" s="3925" t="s">
        <v>421</v>
      </c>
      <c r="BA68" s="3926"/>
      <c r="BB68" s="3927"/>
      <c r="BC68" s="3927" t="str">
        <f>IF(V68="","",V68)</f>
        <v>Источник тепловой энергии  </v>
      </c>
      <c r="BD68" s="3927"/>
      <c r="BE68" s="3927"/>
      <c r="BF68" s="3928">
        <v>0</v>
      </c>
    </row>
    <row s="5662" customFormat="1" customHeight="1" ht="14.25">
      <c r="A69" s="3286"/>
      <c r="B69" s="3286"/>
      <c r="C69" s="3286"/>
      <c r="D69" s="3286"/>
      <c r="E69" s="3930">
        <v>1</v>
      </c>
      <c r="F69" s="3930"/>
      <c r="G69" s="3930"/>
      <c r="H69" s="3930"/>
      <c r="I69" s="3941" t="str">
        <f>U68&amp;".1"</f>
        <v>2.1.1.1.1</v>
      </c>
      <c r="J69" s="3286"/>
      <c r="K69" s="3286"/>
      <c r="L69" s="3286"/>
      <c r="M69" s="3914" t="s">
        <v>422</v>
      </c>
      <c r="N69" s="3928"/>
      <c r="O69" s="3916"/>
      <c r="P69" s="3916"/>
      <c r="Q69" s="3942">
        <v>1</v>
      </c>
      <c r="R69" s="3942"/>
      <c r="S69" s="3942"/>
      <c r="T69" s="3943"/>
      <c r="U69" s="3944"/>
      <c r="V69" s="3945"/>
      <c r="W69" s="3946"/>
      <c r="X69" s="3947"/>
      <c r="Y69" s="3948"/>
      <c r="Z69" s="3948"/>
      <c r="AA69" s="3948"/>
      <c r="AB69" s="3948"/>
      <c r="AC69" s="3948"/>
      <c r="AD69" s="3948"/>
      <c r="AE69" s="3948"/>
      <c r="AF69" s="3949"/>
      <c r="AG69" s="3947"/>
      <c r="AH69" s="3948"/>
      <c r="AI69" s="3948"/>
      <c r="AJ69" s="3948"/>
      <c r="AK69" s="3948"/>
      <c r="AL69" s="3948"/>
      <c r="AM69" s="3948"/>
      <c r="AN69" s="3948"/>
      <c r="AO69" s="3948"/>
      <c r="AP69" s="3947"/>
      <c r="AQ69" s="4212"/>
      <c r="AR69" s="4212"/>
      <c r="AS69" s="4212"/>
      <c r="AT69" s="4212"/>
      <c r="AU69" s="4212"/>
      <c r="AV69" s="4212"/>
      <c r="AW69" s="4212"/>
      <c r="AX69" s="5956"/>
      <c r="AY69" s="3949"/>
      <c r="AZ69" s="3950"/>
      <c r="BA69" s="3926"/>
      <c r="BB69" s="3927"/>
      <c r="BC69" s="3927" t="str">
        <f>IF(V69="","",V69)</f>
        <v/>
      </c>
      <c r="BD69" s="3927"/>
      <c r="BE69" s="3927"/>
      <c r="BF69" s="3928">
        <v>0</v>
      </c>
    </row>
    <row s="5662" customFormat="1" customHeight="1" ht="21">
      <c r="A70" s="3286"/>
      <c r="B70" s="3286"/>
      <c r="C70" s="3286"/>
      <c r="D70" s="3286"/>
      <c r="E70" s="3930">
        <v>1</v>
      </c>
      <c r="F70" s="3930"/>
      <c r="G70" s="3930"/>
      <c r="H70" s="3930"/>
      <c r="I70" s="3952"/>
      <c r="J70" s="3941" t="str">
        <f>I69&amp;".1"</f>
        <v>2.1.1.1.1.1</v>
      </c>
      <c r="K70" s="3286"/>
      <c r="L70" s="3286"/>
      <c r="M70" s="3914" t="s">
        <v>425</v>
      </c>
      <c r="N70" s="3928"/>
      <c r="O70" s="3928"/>
      <c r="P70" s="3916"/>
      <c r="Q70" s="3942"/>
      <c r="R70" s="3942">
        <v>1</v>
      </c>
      <c r="S70" s="3926"/>
      <c r="T70" s="3953"/>
      <c r="U70" s="3919" t="str">
        <f>$J70</f>
        <v>2.1.1.1.1.1</v>
      </c>
      <c r="V70" s="3954" t="s">
        <v>426</v>
      </c>
      <c r="W70" s="3921"/>
      <c r="X70" s="3955"/>
      <c r="Y70" s="3956"/>
      <c r="Z70" s="3956"/>
      <c r="AA70" s="3956"/>
      <c r="AB70" s="3956"/>
      <c r="AC70" s="3957"/>
      <c r="AD70" s="3957"/>
      <c r="AE70" s="3957"/>
      <c r="AF70" s="3958"/>
      <c r="AG70" s="3955" t="s">
        <v>465</v>
      </c>
      <c r="AH70" s="3956"/>
      <c r="AI70" s="3956"/>
      <c r="AJ70" s="3956"/>
      <c r="AK70" s="3956"/>
      <c r="AL70" s="3956"/>
      <c r="AM70" s="3956"/>
      <c r="AN70" s="3956"/>
      <c r="AO70" s="3956"/>
      <c r="AP70" s="5289"/>
      <c r="AQ70" s="3956"/>
      <c r="AR70" s="3956"/>
      <c r="AS70" s="3956"/>
      <c r="AT70" s="3956"/>
      <c r="AU70" s="3957"/>
      <c r="AV70" s="3957"/>
      <c r="AW70" s="3957"/>
      <c r="AX70" s="5962"/>
      <c r="AY70" s="3959"/>
      <c r="AZ70" s="3925" t="s">
        <v>427</v>
      </c>
      <c r="BA70" s="3926"/>
      <c r="BB70" s="3927"/>
      <c r="BC70" s="3927" t="str">
        <f>IF(V70="","",V70)</f>
        <v>Группа потребителей</v>
      </c>
      <c r="BD70" s="3927"/>
      <c r="BE70" s="3927"/>
      <c r="BF70" s="3928">
        <v>0</v>
      </c>
    </row>
    <row s="5662" customFormat="1" customHeight="1" ht="21">
      <c r="A71" s="3286"/>
      <c r="B71" s="3286"/>
      <c r="C71" s="3286"/>
      <c r="D71" s="3286"/>
      <c r="E71" s="3930">
        <v>1</v>
      </c>
      <c r="F71" s="3930"/>
      <c r="G71" s="3930"/>
      <c r="H71" s="3930"/>
      <c r="I71" s="3952"/>
      <c r="J71" s="3952"/>
      <c r="K71" s="3941" t="str">
        <f>J70&amp;".1"</f>
        <v>2.1.1.1.1.1.1</v>
      </c>
      <c r="L71" s="3931"/>
      <c r="M71" s="3914" t="s">
        <v>428</v>
      </c>
      <c r="N71" s="3928"/>
      <c r="O71" s="3928"/>
      <c r="P71" s="3928"/>
      <c r="Q71" s="3942"/>
      <c r="R71" s="3942"/>
      <c r="S71" s="3942">
        <v>1</v>
      </c>
      <c r="T71" s="3953"/>
      <c r="U71" s="3919" t="str">
        <f>$K71</f>
        <v>2.1.1.1.1.1.1</v>
      </c>
      <c r="V71" s="3961" t="s">
        <v>466</v>
      </c>
      <c r="W71" s="3921"/>
      <c r="X71" s="3962"/>
      <c r="Y71" s="3962"/>
      <c r="Z71" s="3962"/>
      <c r="AA71" s="3962"/>
      <c r="AB71" s="3963"/>
      <c r="AC71" s="3779"/>
      <c r="AD71" s="3084" t="s">
        <v>64</v>
      </c>
      <c r="AE71" s="3779"/>
      <c r="AF71" s="3084" t="s">
        <v>64</v>
      </c>
      <c r="AG71" s="3964"/>
      <c r="AH71" s="3962">
        <v>101.12</v>
      </c>
      <c r="AI71" s="3962">
        <v>2011.1</v>
      </c>
      <c r="AJ71" s="3962"/>
      <c r="AK71" s="3965"/>
      <c r="AL71" s="3779">
        <v>45658.531319444446</v>
      </c>
      <c r="AM71" s="3084" t="s">
        <v>64</v>
      </c>
      <c r="AN71" s="5608">
        <v>45838.531377314815</v>
      </c>
      <c r="AO71" s="3084" t="s">
        <v>64</v>
      </c>
      <c r="AP71" s="4296"/>
      <c r="AQ71" s="4296">
        <v>117.29</v>
      </c>
      <c r="AR71" s="4296">
        <v>2349.77</v>
      </c>
      <c r="AS71" s="4296"/>
      <c r="AT71" s="3963"/>
      <c r="AU71" s="5608">
        <v>45839.40337962963</v>
      </c>
      <c r="AV71" s="4650" t="s">
        <v>64</v>
      </c>
      <c r="AW71" s="5608">
        <v>46022.4034837963</v>
      </c>
      <c r="AX71" s="4650" t="s">
        <v>64</v>
      </c>
      <c r="AY71" s="3966"/>
      <c r="AZ71" s="3967" t="s">
        <v>472</v>
      </c>
      <c r="BA71" s="3926">
        <f>STRCHECKDATE(X73:AY73)</f>
      </c>
      <c r="BB71" s="3927"/>
      <c r="BC71" s="3927" t="str">
        <f>IF(V71="","",V71)</f>
        <v>вода</v>
      </c>
      <c r="BD71" s="3927"/>
      <c r="BE71" s="3927"/>
      <c r="BF71" s="3928">
        <v>0</v>
      </c>
    </row>
    <row s="5662" customFormat="1" customHeight="1" ht="21">
      <c r="A72" s="3286"/>
      <c r="B72" s="3286"/>
      <c r="C72" s="3286"/>
      <c r="D72" s="3286"/>
      <c r="E72" s="3930">
        <v>1</v>
      </c>
      <c r="F72" s="3930"/>
      <c r="G72" s="3930"/>
      <c r="H72" s="3930"/>
      <c r="I72" s="3952"/>
      <c r="J72" s="3952"/>
      <c r="K72" s="3952"/>
      <c r="L72" s="3941" t="str">
        <f>K71&amp;".1"</f>
        <v>2.1.1.1.1.1.1.1</v>
      </c>
      <c r="M72" s="3914"/>
      <c r="N72" s="3928"/>
      <c r="O72" s="3928"/>
      <c r="P72" s="3928"/>
      <c r="Q72" s="3942"/>
      <c r="R72" s="3942"/>
      <c r="S72" s="3942"/>
      <c r="T72" s="3953"/>
      <c r="U72" s="3919" t="str">
        <f>$L72</f>
        <v>2.1.1.1.1.1.1.1</v>
      </c>
      <c r="V72" s="3969"/>
      <c r="W72" s="3921"/>
      <c r="X72" s="3966"/>
      <c r="Y72" s="3962"/>
      <c r="Z72" s="3962"/>
      <c r="AA72" s="3962"/>
      <c r="AB72" s="3963"/>
      <c r="AC72" s="3970"/>
      <c r="AD72" s="3084"/>
      <c r="AE72" s="3970"/>
      <c r="AF72" s="3084"/>
      <c r="AG72" s="3964"/>
      <c r="AH72" s="3962"/>
      <c r="AI72" s="3962"/>
      <c r="AJ72" s="3962"/>
      <c r="AK72" s="3965"/>
      <c r="AL72" s="3970"/>
      <c r="AM72" s="3084"/>
      <c r="AN72" s="3970"/>
      <c r="AO72" s="3084"/>
      <c r="AP72" s="3966"/>
      <c r="AQ72" s="4296"/>
      <c r="AR72" s="4296"/>
      <c r="AS72" s="4296"/>
      <c r="AT72" s="3963"/>
      <c r="AU72" s="5453"/>
      <c r="AV72" s="4650"/>
      <c r="AW72" s="5453"/>
      <c r="AX72" s="4650"/>
      <c r="AY72" s="3966"/>
      <c r="AZ72" s="3971" t="s">
        <v>473</v>
      </c>
      <c r="BA72" s="3926"/>
      <c r="BB72" s="3927"/>
      <c r="BC72" s="3927"/>
      <c r="BD72" s="3927"/>
      <c r="BE72" s="3927"/>
      <c r="BF72" s="3928">
        <v>0</v>
      </c>
    </row>
    <row s="5662" customFormat="1" customHeight="1" ht="14.25">
      <c r="A73" s="3286"/>
      <c r="B73" s="3286"/>
      <c r="C73" s="3286"/>
      <c r="D73" s="3286"/>
      <c r="E73" s="3930">
        <v>1</v>
      </c>
      <c r="F73" s="3930"/>
      <c r="G73" s="3930"/>
      <c r="H73" s="3930"/>
      <c r="I73" s="3952"/>
      <c r="J73" s="3952"/>
      <c r="K73" s="3952"/>
      <c r="L73" s="3941"/>
      <c r="M73" s="3914"/>
      <c r="N73" s="3928"/>
      <c r="O73" s="3928"/>
      <c r="P73" s="3928"/>
      <c r="Q73" s="3942"/>
      <c r="R73" s="3942"/>
      <c r="S73" s="3942"/>
      <c r="T73" s="3953"/>
      <c r="U73" s="3973"/>
      <c r="V73" s="3921"/>
      <c r="W73" s="3921"/>
      <c r="X73" s="3966"/>
      <c r="Y73" s="3966"/>
      <c r="Z73" s="3966"/>
      <c r="AA73" s="3966"/>
      <c r="AB73" s="3974" t="str">
        <f>AC71&amp;"-"&amp;AE71</f>
        <v>-</v>
      </c>
      <c r="AC73" s="3970"/>
      <c r="AD73" s="3084"/>
      <c r="AE73" s="3970"/>
      <c r="AF73" s="3084"/>
      <c r="AG73" s="3975"/>
      <c r="AH73" s="3966"/>
      <c r="AI73" s="3966"/>
      <c r="AJ73" s="3966"/>
      <c r="AK73" s="3976" t="str">
        <f>AL71&amp;"-"&amp;AN71</f>
        <v>45658.531319444446-45838.531377314815</v>
      </c>
      <c r="AL73" s="3970"/>
      <c r="AM73" s="3084"/>
      <c r="AN73" s="3970"/>
      <c r="AO73" s="3084"/>
      <c r="AP73" s="3966"/>
      <c r="AQ73" s="3966"/>
      <c r="AR73" s="3966"/>
      <c r="AS73" s="3966"/>
      <c r="AT73" s="3974" t="str">
        <f>AU71&amp;"-"&amp;AW71</f>
        <v>45839.40337962963-46022.4034837963</v>
      </c>
      <c r="AU73" s="5453"/>
      <c r="AV73" s="4650"/>
      <c r="AW73" s="5453"/>
      <c r="AX73" s="4650"/>
      <c r="AY73" s="3966"/>
      <c r="AZ73" s="3977"/>
      <c r="BA73" s="3926"/>
      <c r="BB73" s="3927"/>
      <c r="BC73" s="3927" t="str">
        <f>IF(V73="","",V73)</f>
        <v/>
      </c>
      <c r="BD73" s="3927"/>
      <c r="BE73" s="3927"/>
      <c r="BF73" s="3928">
        <v>0</v>
      </c>
    </row>
    <row s="5662" customFormat="1" customHeight="1" ht="11.25">
      <c r="A74" s="3286"/>
      <c r="B74" s="3286"/>
      <c r="C74" s="3286"/>
      <c r="D74" s="3286"/>
      <c r="E74" s="3930">
        <v>1</v>
      </c>
      <c r="F74" s="3930"/>
      <c r="G74" s="3930"/>
      <c r="H74" s="3930"/>
      <c r="I74" s="3952"/>
      <c r="J74" s="3952"/>
      <c r="K74" s="3941"/>
      <c r="L74" s="3286"/>
      <c r="M74" s="3914"/>
      <c r="N74" s="3928"/>
      <c r="O74" s="3928"/>
      <c r="P74" s="3928"/>
      <c r="Q74" s="3942"/>
      <c r="R74" s="3942"/>
      <c r="S74" s="3942"/>
      <c r="T74" s="3953"/>
      <c r="U74" s="3979"/>
      <c r="V74" s="3980" t="s">
        <v>474</v>
      </c>
      <c r="W74" s="3981"/>
      <c r="X74" s="3982"/>
      <c r="Y74" s="3983"/>
      <c r="Z74" s="3984"/>
      <c r="AA74" s="3985"/>
      <c r="AB74" s="3986"/>
      <c r="AC74" s="3970"/>
      <c r="AD74" s="3084"/>
      <c r="AE74" s="3970"/>
      <c r="AF74" s="3084"/>
      <c r="AG74" s="3987"/>
      <c r="AH74" s="3988"/>
      <c r="AI74" s="3989"/>
      <c r="AJ74" s="3990"/>
      <c r="AK74" s="3991"/>
      <c r="AL74" s="3970"/>
      <c r="AM74" s="3084"/>
      <c r="AN74" s="3970"/>
      <c r="AO74" s="3084"/>
      <c r="AP74" s="5871"/>
      <c r="AQ74" s="5872"/>
      <c r="AR74" s="5873"/>
      <c r="AS74" s="5874"/>
      <c r="AT74" s="5875"/>
      <c r="AU74" s="5453"/>
      <c r="AV74" s="4650"/>
      <c r="AW74" s="5453"/>
      <c r="AX74" s="4650"/>
      <c r="AY74" s="3992"/>
      <c r="AZ74" s="3977"/>
      <c r="BA74" s="3926"/>
      <c r="BB74" s="3927"/>
      <c r="BC74" s="3927"/>
      <c r="BD74" s="3927"/>
      <c r="BE74" s="3927"/>
      <c r="BF74" s="3928">
        <v>0</v>
      </c>
    </row>
    <row s="5662" customFormat="1" customHeight="1" ht="15">
      <c r="A75" s="3286"/>
      <c r="B75" s="3286"/>
      <c r="C75" s="3286"/>
      <c r="D75" s="3286"/>
      <c r="E75" s="3930">
        <v>1</v>
      </c>
      <c r="F75" s="3930"/>
      <c r="G75" s="3930"/>
      <c r="H75" s="3930"/>
      <c r="I75" s="3952"/>
      <c r="J75" s="3941"/>
      <c r="K75" s="3286"/>
      <c r="L75" s="3286"/>
      <c r="M75" s="3914"/>
      <c r="N75" s="3928"/>
      <c r="O75" s="3928"/>
      <c r="P75" s="3916"/>
      <c r="Q75" s="3942"/>
      <c r="R75" s="3942"/>
      <c r="S75" s="3942"/>
      <c r="T75" s="3943"/>
      <c r="U75" s="3994"/>
      <c r="V75" s="3995" t="s">
        <v>430</v>
      </c>
      <c r="W75" s="3996"/>
      <c r="X75" s="3997"/>
      <c r="Y75" s="3998"/>
      <c r="Z75" s="3999"/>
      <c r="AA75" s="4000"/>
      <c r="AB75" s="4001"/>
      <c r="AC75" s="4002"/>
      <c r="AD75" s="4003"/>
      <c r="AE75" s="4004"/>
      <c r="AF75" s="4005"/>
      <c r="AG75" s="4006"/>
      <c r="AH75" s="4007"/>
      <c r="AI75" s="4008"/>
      <c r="AJ75" s="4009"/>
      <c r="AK75" s="4010"/>
      <c r="AL75" s="4011"/>
      <c r="AM75" s="4012"/>
      <c r="AN75" s="4013"/>
      <c r="AO75" s="4014"/>
      <c r="AP75" s="5876"/>
      <c r="AQ75" s="5877"/>
      <c r="AR75" s="5878"/>
      <c r="AS75" s="5879"/>
      <c r="AT75" s="5880"/>
      <c r="AU75" s="5881"/>
      <c r="AV75" s="5882"/>
      <c r="AW75" s="5883"/>
      <c r="AX75" s="5967"/>
      <c r="AY75" s="4015"/>
      <c r="AZ75" s="4016"/>
      <c r="BA75" s="3926"/>
      <c r="BB75" s="3927"/>
      <c r="BC75" s="3927" t="str">
        <f>IF(V75="","",V75)</f>
        <v>Добавить вид теплоносителя (параметры теплоносителя)</v>
      </c>
      <c r="BD75" s="3927"/>
      <c r="BE75" s="3927"/>
      <c r="BF75" s="3928">
        <v>0</v>
      </c>
    </row>
    <row s="5662" customFormat="1" customHeight="1" ht="21">
      <c r="A76" s="3286"/>
      <c r="B76" s="3286"/>
      <c r="C76" s="3286"/>
      <c r="D76" s="3286"/>
      <c r="E76" s="3930"/>
      <c r="F76" s="3930"/>
      <c r="G76" s="3930"/>
      <c r="H76" s="3930"/>
      <c r="I76" s="3952"/>
      <c r="J76" s="3941" t="str">
        <f>I69&amp;".2"</f>
        <v>2.1.1.1.1.2</v>
      </c>
      <c r="K76" s="3286"/>
      <c r="L76" s="3286"/>
      <c r="M76" s="3914" t="s">
        <v>425</v>
      </c>
      <c r="N76" s="3928"/>
      <c r="O76" s="3928"/>
      <c r="P76" s="3916"/>
      <c r="Q76" s="3942"/>
      <c r="R76" s="4018" t="s">
        <v>193</v>
      </c>
      <c r="S76" s="3926"/>
      <c r="T76" s="3953"/>
      <c r="U76" s="3919" t="str">
        <f>$J76</f>
        <v>2.1.1.1.1.2</v>
      </c>
      <c r="V76" s="3954" t="s">
        <v>426</v>
      </c>
      <c r="W76" s="3921"/>
      <c r="X76" s="3955"/>
      <c r="Y76" s="3956"/>
      <c r="Z76" s="3956"/>
      <c r="AA76" s="3956"/>
      <c r="AB76" s="3956"/>
      <c r="AC76" s="3957"/>
      <c r="AD76" s="3957"/>
      <c r="AE76" s="3957"/>
      <c r="AF76" s="3958"/>
      <c r="AG76" s="3955" t="s">
        <v>469</v>
      </c>
      <c r="AH76" s="3956"/>
      <c r="AI76" s="3956"/>
      <c r="AJ76" s="3956"/>
      <c r="AK76" s="3956"/>
      <c r="AL76" s="3956"/>
      <c r="AM76" s="3956"/>
      <c r="AN76" s="3956"/>
      <c r="AO76" s="3956"/>
      <c r="AP76" s="5289"/>
      <c r="AQ76" s="3956"/>
      <c r="AR76" s="3956"/>
      <c r="AS76" s="3956"/>
      <c r="AT76" s="3956"/>
      <c r="AU76" s="3957"/>
      <c r="AV76" s="3957"/>
      <c r="AW76" s="3957"/>
      <c r="AX76" s="5962"/>
      <c r="AY76" s="3959"/>
      <c r="AZ76" s="3925" t="s">
        <v>427</v>
      </c>
      <c r="BA76" s="3926"/>
      <c r="BB76" s="3927"/>
      <c r="BC76" s="3927" t="str">
        <f>IF(V76="","",V76)</f>
        <v>Группа потребителей</v>
      </c>
      <c r="BD76" s="3927"/>
      <c r="BE76" s="3927"/>
      <c r="BF76" s="3928">
        <v>0</v>
      </c>
    </row>
    <row s="5662" customFormat="1" customHeight="1" ht="21">
      <c r="A77" s="3286"/>
      <c r="B77" s="3286"/>
      <c r="C77" s="3286"/>
      <c r="D77" s="3286"/>
      <c r="E77" s="3930"/>
      <c r="F77" s="3930"/>
      <c r="G77" s="3930"/>
      <c r="H77" s="3930"/>
      <c r="I77" s="3952"/>
      <c r="J77" s="3952" t="str">
        <f>I69&amp;".1"</f>
        <v>2.1.1.1.1.1</v>
      </c>
      <c r="K77" s="3941" t="str">
        <f>J76&amp;".1"</f>
        <v>2.1.1.1.1.2.1</v>
      </c>
      <c r="L77" s="3931"/>
      <c r="M77" s="3914" t="s">
        <v>428</v>
      </c>
      <c r="N77" s="3928"/>
      <c r="O77" s="3928"/>
      <c r="P77" s="3928"/>
      <c r="Q77" s="3942"/>
      <c r="R77" s="3942"/>
      <c r="S77" s="3942">
        <v>1</v>
      </c>
      <c r="T77" s="3953"/>
      <c r="U77" s="3919" t="str">
        <f>$K77</f>
        <v>2.1.1.1.1.2.1</v>
      </c>
      <c r="V77" s="3961" t="s">
        <v>466</v>
      </c>
      <c r="W77" s="3921"/>
      <c r="X77" s="3962"/>
      <c r="Y77" s="3962"/>
      <c r="Z77" s="3962"/>
      <c r="AA77" s="3962"/>
      <c r="AB77" s="3963"/>
      <c r="AC77" s="3779"/>
      <c r="AD77" s="3084" t="s">
        <v>64</v>
      </c>
      <c r="AE77" s="3779"/>
      <c r="AF77" s="3084" t="s">
        <v>64</v>
      </c>
      <c r="AG77" s="3964"/>
      <c r="AH77" s="3962">
        <v>121.34</v>
      </c>
      <c r="AI77" s="3962">
        <v>2413.32</v>
      </c>
      <c r="AJ77" s="3962"/>
      <c r="AK77" s="3965"/>
      <c r="AL77" s="3779">
        <v>45658.53155092592</v>
      </c>
      <c r="AM77" s="3084" t="s">
        <v>64</v>
      </c>
      <c r="AN77" s="5608">
        <v>45838.53159722222</v>
      </c>
      <c r="AO77" s="3084" t="s">
        <v>64</v>
      </c>
      <c r="AP77" s="4296"/>
      <c r="AQ77" s="4296">
        <v>140.75</v>
      </c>
      <c r="AR77" s="4296">
        <v>2819.72</v>
      </c>
      <c r="AS77" s="4296"/>
      <c r="AT77" s="3963"/>
      <c r="AU77" s="5608">
        <v>45839.404131944444</v>
      </c>
      <c r="AV77" s="4650" t="s">
        <v>64</v>
      </c>
      <c r="AW77" s="5608">
        <v>46022.40425925926</v>
      </c>
      <c r="AX77" s="4650" t="s">
        <v>64</v>
      </c>
      <c r="AY77" s="3966"/>
      <c r="AZ77" s="3967" t="s">
        <v>472</v>
      </c>
      <c r="BA77" s="3926">
        <f>STRCHECKDATE(X79:AY79)</f>
      </c>
      <c r="BB77" s="3927"/>
      <c r="BC77" s="3927" t="str">
        <f>IF(V77="","",V77)</f>
        <v>вода</v>
      </c>
      <c r="BD77" s="3927"/>
      <c r="BE77" s="3927"/>
      <c r="BF77" s="3928">
        <v>0</v>
      </c>
    </row>
    <row s="5662" customFormat="1" customHeight="1" ht="21">
      <c r="A78" s="3286"/>
      <c r="B78" s="3286"/>
      <c r="C78" s="3286"/>
      <c r="D78" s="3286"/>
      <c r="E78" s="3930"/>
      <c r="F78" s="3930"/>
      <c r="G78" s="3930"/>
      <c r="H78" s="3930"/>
      <c r="I78" s="3952"/>
      <c r="J78" s="3952" t="str">
        <f>I69&amp;".1"</f>
        <v>2.1.1.1.1.1</v>
      </c>
      <c r="K78" s="3952"/>
      <c r="L78" s="3941" t="str">
        <f>K77&amp;".1"</f>
        <v>2.1.1.1.1.2.1.1</v>
      </c>
      <c r="M78" s="3914"/>
      <c r="N78" s="3928"/>
      <c r="O78" s="3928"/>
      <c r="P78" s="3928"/>
      <c r="Q78" s="3942"/>
      <c r="R78" s="3942"/>
      <c r="S78" s="3942"/>
      <c r="T78" s="3953"/>
      <c r="U78" s="3919" t="str">
        <f>$L78</f>
        <v>2.1.1.1.1.2.1.1</v>
      </c>
      <c r="V78" s="3969"/>
      <c r="W78" s="3921"/>
      <c r="X78" s="3966"/>
      <c r="Y78" s="3962"/>
      <c r="Z78" s="3962"/>
      <c r="AA78" s="3962"/>
      <c r="AB78" s="3963"/>
      <c r="AC78" s="3970"/>
      <c r="AD78" s="3084"/>
      <c r="AE78" s="3970"/>
      <c r="AF78" s="3084"/>
      <c r="AG78" s="3964"/>
      <c r="AH78" s="3962"/>
      <c r="AI78" s="3962"/>
      <c r="AJ78" s="3962"/>
      <c r="AK78" s="3965"/>
      <c r="AL78" s="3970"/>
      <c r="AM78" s="3084"/>
      <c r="AN78" s="3970"/>
      <c r="AO78" s="3084"/>
      <c r="AP78" s="3966"/>
      <c r="AQ78" s="4296"/>
      <c r="AR78" s="4296"/>
      <c r="AS78" s="4296"/>
      <c r="AT78" s="3963"/>
      <c r="AU78" s="5453"/>
      <c r="AV78" s="4650"/>
      <c r="AW78" s="5453"/>
      <c r="AX78" s="4650"/>
      <c r="AY78" s="3966"/>
      <c r="AZ78" s="3971" t="s">
        <v>473</v>
      </c>
      <c r="BA78" s="3926"/>
      <c r="BB78" s="3927"/>
      <c r="BC78" s="3927"/>
      <c r="BD78" s="3927"/>
      <c r="BE78" s="3927"/>
      <c r="BF78" s="3928">
        <v>0</v>
      </c>
    </row>
    <row s="5662" customFormat="1" customHeight="1" ht="14.25">
      <c r="A79" s="3286"/>
      <c r="B79" s="3286"/>
      <c r="C79" s="3286"/>
      <c r="D79" s="3286"/>
      <c r="E79" s="3930"/>
      <c r="F79" s="3930"/>
      <c r="G79" s="3930"/>
      <c r="H79" s="3930"/>
      <c r="I79" s="3952"/>
      <c r="J79" s="3952" t="str">
        <f>I69&amp;".1"</f>
        <v>2.1.1.1.1.1</v>
      </c>
      <c r="K79" s="3952"/>
      <c r="L79" s="3941"/>
      <c r="M79" s="3914"/>
      <c r="N79" s="3928"/>
      <c r="O79" s="3928"/>
      <c r="P79" s="3928"/>
      <c r="Q79" s="3942"/>
      <c r="R79" s="3942"/>
      <c r="S79" s="3942"/>
      <c r="T79" s="3953"/>
      <c r="U79" s="3973"/>
      <c r="V79" s="3921"/>
      <c r="W79" s="3921"/>
      <c r="X79" s="3966"/>
      <c r="Y79" s="3966"/>
      <c r="Z79" s="3966"/>
      <c r="AA79" s="3966"/>
      <c r="AB79" s="3974" t="str">
        <f>AC77&amp;"-"&amp;AE77</f>
        <v>-</v>
      </c>
      <c r="AC79" s="3970"/>
      <c r="AD79" s="3084"/>
      <c r="AE79" s="3970"/>
      <c r="AF79" s="3084"/>
      <c r="AG79" s="3975"/>
      <c r="AH79" s="3966"/>
      <c r="AI79" s="3966"/>
      <c r="AJ79" s="3966"/>
      <c r="AK79" s="3976" t="str">
        <f>AL77&amp;"-"&amp;AN77</f>
        <v>45658.53155092592-45838.53159722222</v>
      </c>
      <c r="AL79" s="3970"/>
      <c r="AM79" s="3084"/>
      <c r="AN79" s="3970"/>
      <c r="AO79" s="3084"/>
      <c r="AP79" s="3966"/>
      <c r="AQ79" s="3966"/>
      <c r="AR79" s="3966"/>
      <c r="AS79" s="3966"/>
      <c r="AT79" s="3974" t="str">
        <f>AU77&amp;"-"&amp;AW77</f>
        <v>45839.404131944444-46022.40425925926</v>
      </c>
      <c r="AU79" s="5453"/>
      <c r="AV79" s="4650"/>
      <c r="AW79" s="5453"/>
      <c r="AX79" s="4650"/>
      <c r="AY79" s="3966"/>
      <c r="AZ79" s="3977"/>
      <c r="BA79" s="3926"/>
      <c r="BB79" s="3927"/>
      <c r="BC79" s="3927" t="str">
        <f>IF(V79="","",V79)</f>
        <v/>
      </c>
      <c r="BD79" s="3927"/>
      <c r="BE79" s="3927"/>
      <c r="BF79" s="3928">
        <v>0</v>
      </c>
    </row>
    <row s="5662" customFormat="1" customHeight="1" ht="11.25">
      <c r="A80" s="3286"/>
      <c r="B80" s="3286"/>
      <c r="C80" s="3286"/>
      <c r="D80" s="3286"/>
      <c r="E80" s="3930"/>
      <c r="F80" s="3930"/>
      <c r="G80" s="3930"/>
      <c r="H80" s="3930"/>
      <c r="I80" s="3952"/>
      <c r="J80" s="3952" t="str">
        <f>I69&amp;".1"</f>
        <v>2.1.1.1.1.1</v>
      </c>
      <c r="K80" s="3941"/>
      <c r="L80" s="3286"/>
      <c r="M80" s="3914"/>
      <c r="N80" s="3928"/>
      <c r="O80" s="3928"/>
      <c r="P80" s="3928"/>
      <c r="Q80" s="3942"/>
      <c r="R80" s="3942"/>
      <c r="S80" s="3942"/>
      <c r="T80" s="3953"/>
      <c r="U80" s="4023"/>
      <c r="V80" s="4024" t="s">
        <v>474</v>
      </c>
      <c r="W80" s="4025"/>
      <c r="X80" s="4026"/>
      <c r="Y80" s="4027"/>
      <c r="Z80" s="4028"/>
      <c r="AA80" s="4029"/>
      <c r="AB80" s="4030"/>
      <c r="AC80" s="3970"/>
      <c r="AD80" s="3084"/>
      <c r="AE80" s="3970"/>
      <c r="AF80" s="3084"/>
      <c r="AG80" s="4031"/>
      <c r="AH80" s="4032"/>
      <c r="AI80" s="4033"/>
      <c r="AJ80" s="4034"/>
      <c r="AK80" s="4035"/>
      <c r="AL80" s="3970"/>
      <c r="AM80" s="3084"/>
      <c r="AN80" s="3970"/>
      <c r="AO80" s="3084"/>
      <c r="AP80" s="5885"/>
      <c r="AQ80" s="5886"/>
      <c r="AR80" s="5887"/>
      <c r="AS80" s="5888"/>
      <c r="AT80" s="5889"/>
      <c r="AU80" s="5453"/>
      <c r="AV80" s="4650"/>
      <c r="AW80" s="5453"/>
      <c r="AX80" s="4650"/>
      <c r="AY80" s="4036"/>
      <c r="AZ80" s="3977"/>
      <c r="BA80" s="3926"/>
      <c r="BB80" s="3927"/>
      <c r="BC80" s="3927"/>
      <c r="BD80" s="3927"/>
      <c r="BE80" s="3927"/>
      <c r="BF80" s="3928">
        <v>0</v>
      </c>
    </row>
    <row s="5662" customFormat="1" customHeight="1" ht="15">
      <c r="A81" s="3286"/>
      <c r="B81" s="3286"/>
      <c r="C81" s="3286"/>
      <c r="D81" s="3286"/>
      <c r="E81" s="3930"/>
      <c r="F81" s="3930"/>
      <c r="G81" s="3930"/>
      <c r="H81" s="3930"/>
      <c r="I81" s="3952"/>
      <c r="J81" s="3941" t="str">
        <f>I69&amp;".1"</f>
        <v>2.1.1.1.1.1</v>
      </c>
      <c r="K81" s="3286"/>
      <c r="L81" s="3286"/>
      <c r="M81" s="3914"/>
      <c r="N81" s="3928"/>
      <c r="O81" s="3928"/>
      <c r="P81" s="3916"/>
      <c r="Q81" s="3942"/>
      <c r="R81" s="3942"/>
      <c r="S81" s="3942"/>
      <c r="T81" s="3943"/>
      <c r="U81" s="4038"/>
      <c r="V81" s="4039" t="s">
        <v>430</v>
      </c>
      <c r="W81" s="4040"/>
      <c r="X81" s="4041"/>
      <c r="Y81" s="4042"/>
      <c r="Z81" s="4043"/>
      <c r="AA81" s="4044"/>
      <c r="AB81" s="4045"/>
      <c r="AC81" s="4046"/>
      <c r="AD81" s="4047"/>
      <c r="AE81" s="4048"/>
      <c r="AF81" s="4049"/>
      <c r="AG81" s="4050"/>
      <c r="AH81" s="4051"/>
      <c r="AI81" s="4052"/>
      <c r="AJ81" s="4053"/>
      <c r="AK81" s="4054"/>
      <c r="AL81" s="4055"/>
      <c r="AM81" s="4056"/>
      <c r="AN81" s="4057"/>
      <c r="AO81" s="4058"/>
      <c r="AP81" s="5890"/>
      <c r="AQ81" s="5891"/>
      <c r="AR81" s="5892"/>
      <c r="AS81" s="5893"/>
      <c r="AT81" s="5894"/>
      <c r="AU81" s="5895"/>
      <c r="AV81" s="5896"/>
      <c r="AW81" s="5897"/>
      <c r="AX81" s="5968"/>
      <c r="AY81" s="4059"/>
      <c r="AZ81" s="4016"/>
      <c r="BA81" s="3926"/>
      <c r="BB81" s="3927"/>
      <c r="BC81" s="3927" t="str">
        <f>IF(V81="","",V81)</f>
        <v>Добавить вид теплоносителя (параметры теплоносителя)</v>
      </c>
      <c r="BD81" s="3927"/>
      <c r="BE81" s="3927"/>
      <c r="BF81" s="3928">
        <v>0</v>
      </c>
    </row>
    <row s="5662" customFormat="1" customHeight="1" ht="11.25">
      <c r="A82" s="3286"/>
      <c r="B82" s="3286"/>
      <c r="C82" s="3286"/>
      <c r="D82" s="3286"/>
      <c r="E82" s="3930">
        <v>1</v>
      </c>
      <c r="F82" s="3930"/>
      <c r="G82" s="3930"/>
      <c r="H82" s="3930"/>
      <c r="I82" s="3941"/>
      <c r="J82" s="3286"/>
      <c r="K82" s="3286"/>
      <c r="L82" s="3286"/>
      <c r="M82" s="3914"/>
      <c r="N82" s="3928"/>
      <c r="O82" s="3916"/>
      <c r="P82" s="3916"/>
      <c r="Q82" s="3942"/>
      <c r="R82" s="3942"/>
      <c r="S82" s="3942"/>
      <c r="T82" s="3943"/>
      <c r="U82" s="4061"/>
      <c r="V82" s="4062" t="s">
        <v>431</v>
      </c>
      <c r="W82" s="4063"/>
      <c r="X82" s="4064"/>
      <c r="Y82" s="4065"/>
      <c r="Z82" s="4066"/>
      <c r="AA82" s="4067"/>
      <c r="AB82" s="4068"/>
      <c r="AC82" s="4069"/>
      <c r="AD82" s="4070"/>
      <c r="AE82" s="4071"/>
      <c r="AF82" s="4072"/>
      <c r="AG82" s="4073"/>
      <c r="AH82" s="4074"/>
      <c r="AI82" s="4075"/>
      <c r="AJ82" s="4076"/>
      <c r="AK82" s="4077"/>
      <c r="AL82" s="4078"/>
      <c r="AM82" s="4079"/>
      <c r="AN82" s="4080"/>
      <c r="AO82" s="4081"/>
      <c r="AP82" s="5899"/>
      <c r="AQ82" s="5900"/>
      <c r="AR82" s="5901"/>
      <c r="AS82" s="5902"/>
      <c r="AT82" s="5903"/>
      <c r="AU82" s="5904"/>
      <c r="AV82" s="5905"/>
      <c r="AW82" s="5906"/>
      <c r="AX82" s="5969"/>
      <c r="AY82" s="4082"/>
      <c r="AZ82" s="4083"/>
      <c r="BA82" s="3926"/>
      <c r="BB82" s="3927"/>
      <c r="BC82" s="3927" t="str">
        <f>IF(V82="","",V82)</f>
        <v>Добавить группу потребителей</v>
      </c>
      <c r="BD82" s="3927"/>
      <c r="BE82" s="3927"/>
      <c r="BF82" s="3928">
        <v>0</v>
      </c>
    </row>
    <row s="5662" customFormat="1" customHeight="1" ht="14.25">
      <c r="A83" s="3286"/>
      <c r="B83" s="3286"/>
      <c r="C83" s="3286"/>
      <c r="D83" s="3286"/>
      <c r="E83" s="3930">
        <v>1</v>
      </c>
      <c r="F83" s="3930"/>
      <c r="G83" s="3930"/>
      <c r="H83" s="3913"/>
      <c r="I83" s="3286"/>
      <c r="J83" s="3286"/>
      <c r="K83" s="3286"/>
      <c r="L83" s="3286"/>
      <c r="M83" s="3914"/>
      <c r="N83" s="3915"/>
      <c r="O83" s="3915"/>
      <c r="P83" s="3928"/>
      <c r="Q83" s="3917"/>
      <c r="R83" s="4085"/>
      <c r="S83" s="3918"/>
      <c r="T83" s="3917"/>
      <c r="U83" s="4086"/>
      <c r="V83" s="4087"/>
      <c r="W83" s="4088"/>
      <c r="X83" s="4088"/>
      <c r="Y83" s="4088"/>
      <c r="Z83" s="4088"/>
      <c r="AA83" s="4088"/>
      <c r="AB83" s="4088"/>
      <c r="AC83" s="4088"/>
      <c r="AD83" s="4088"/>
      <c r="AE83" s="4088"/>
      <c r="AF83" s="4088"/>
      <c r="AG83" s="4088"/>
      <c r="AH83" s="4088"/>
      <c r="AI83" s="4088"/>
      <c r="AJ83" s="4088"/>
      <c r="AK83" s="4088"/>
      <c r="AL83" s="4088"/>
      <c r="AM83" s="4088"/>
      <c r="AN83" s="4088"/>
      <c r="AO83" s="4088"/>
      <c r="AP83" s="4088"/>
      <c r="AQ83" s="4088"/>
      <c r="AR83" s="4088"/>
      <c r="AS83" s="4088"/>
      <c r="AT83" s="4088"/>
      <c r="AU83" s="4088"/>
      <c r="AV83" s="4088"/>
      <c r="AW83" s="4088"/>
      <c r="AX83" s="4088"/>
      <c r="AY83" s="4088"/>
      <c r="AZ83" s="4089"/>
      <c r="BA83" s="3926"/>
      <c r="BB83" s="3927"/>
      <c r="BC83" s="3927" t="str">
        <f>IF(V83="","",V83)</f>
        <v/>
      </c>
      <c r="BD83" s="3927"/>
      <c r="BE83" s="3927"/>
      <c r="BF83" s="3928">
        <v>0</v>
      </c>
    </row>
    <row s="4331" customFormat="1" customHeight="1" ht="14.25">
      <c r="A84" s="4091"/>
      <c r="B84" s="4091"/>
      <c r="C84" s="4091"/>
      <c r="D84" s="4091"/>
      <c r="E84" s="3930">
        <v>1</v>
      </c>
      <c r="F84" s="3930"/>
      <c r="G84" s="3913"/>
      <c r="H84" s="4091"/>
      <c r="I84" s="4091"/>
      <c r="J84" s="4091"/>
      <c r="K84" s="4091"/>
      <c r="L84" s="4091"/>
      <c r="M84" s="4092"/>
      <c r="N84" s="4093"/>
      <c r="O84" s="4093"/>
      <c r="P84" s="4094"/>
      <c r="Q84" s="4095"/>
      <c r="R84" s="4096"/>
      <c r="S84" s="4095"/>
      <c r="T84" s="4095"/>
      <c r="U84" s="4097"/>
      <c r="V84" s="4098" t="s">
        <v>165</v>
      </c>
      <c r="W84" s="4099"/>
      <c r="X84" s="4099"/>
      <c r="Y84" s="4099"/>
      <c r="Z84" s="4099"/>
      <c r="AA84" s="4099"/>
      <c r="AB84" s="4099"/>
      <c r="AC84" s="4099"/>
      <c r="AD84" s="4099"/>
      <c r="AE84" s="4099"/>
      <c r="AF84" s="4099"/>
      <c r="AG84" s="4099"/>
      <c r="AH84" s="4099"/>
      <c r="AI84" s="4099"/>
      <c r="AJ84" s="4099"/>
      <c r="AK84" s="4099"/>
      <c r="AL84" s="4099"/>
      <c r="AM84" s="4099"/>
      <c r="AN84" s="4099"/>
      <c r="AO84" s="4099"/>
      <c r="AP84" s="4099"/>
      <c r="AQ84" s="4099"/>
      <c r="AR84" s="4099"/>
      <c r="AS84" s="4099"/>
      <c r="AT84" s="4099"/>
      <c r="AU84" s="4099"/>
      <c r="AV84" s="4099"/>
      <c r="AW84" s="4099"/>
      <c r="AX84" s="4099"/>
      <c r="AY84" s="4099"/>
      <c r="AZ84" s="4099"/>
      <c r="BA84" s="3926"/>
      <c r="BB84" s="3927"/>
      <c r="BC84" s="3927" t="str">
        <f>IF(V84="","",V84)</f>
        <v>Добавить источник для дифференциации</v>
      </c>
      <c r="BD84" s="3927"/>
      <c r="BE84" s="3927"/>
      <c r="BF84" s="3926">
        <v>0</v>
      </c>
    </row>
    <row s="4331" customFormat="1" customHeight="1" ht="14.25">
      <c r="A85" s="4091"/>
      <c r="B85" s="4091"/>
      <c r="C85" s="4091"/>
      <c r="D85" s="4091"/>
      <c r="E85" s="3930">
        <v>1</v>
      </c>
      <c r="F85" s="3913"/>
      <c r="G85" s="4091"/>
      <c r="H85" s="4091"/>
      <c r="I85" s="4091"/>
      <c r="J85" s="4091"/>
      <c r="K85" s="4091"/>
      <c r="L85" s="4091"/>
      <c r="M85" s="4092"/>
      <c r="N85" s="4101"/>
      <c r="O85" s="4101"/>
      <c r="P85" s="4094"/>
      <c r="Q85" s="4095"/>
      <c r="R85" s="4096"/>
      <c r="S85" s="4095"/>
      <c r="T85" s="4095"/>
      <c r="U85" s="4102"/>
      <c r="V85" s="4103" t="s">
        <v>166</v>
      </c>
      <c r="W85" s="4104"/>
      <c r="X85" s="4104"/>
      <c r="Y85" s="4104"/>
      <c r="Z85" s="4104"/>
      <c r="AA85" s="4104"/>
      <c r="AB85" s="4104"/>
      <c r="AC85" s="4104"/>
      <c r="AD85" s="4104"/>
      <c r="AE85" s="4104"/>
      <c r="AF85" s="4104"/>
      <c r="AG85" s="4104"/>
      <c r="AH85" s="4104"/>
      <c r="AI85" s="4104"/>
      <c r="AJ85" s="4104"/>
      <c r="AK85" s="4104"/>
      <c r="AL85" s="4104"/>
      <c r="AM85" s="4104"/>
      <c r="AN85" s="4104"/>
      <c r="AO85" s="4104"/>
      <c r="AP85" s="4673"/>
      <c r="AQ85" s="4673"/>
      <c r="AR85" s="4673"/>
      <c r="AS85" s="4673"/>
      <c r="AT85" s="4673"/>
      <c r="AU85" s="4673"/>
      <c r="AV85" s="4673"/>
      <c r="AW85" s="4673"/>
      <c r="AX85" s="4673"/>
      <c r="AY85" s="4104"/>
      <c r="AZ85" s="4104"/>
      <c r="BA85" s="3926"/>
      <c r="BB85" s="3927"/>
      <c r="BC85" s="3927" t="str">
        <f>IF(V85="","",V85)</f>
        <v>Добавить централизованную систему для дифференциации</v>
      </c>
      <c r="BD85" s="3927"/>
      <c r="BE85" s="3927"/>
      <c r="BF85" s="3926">
        <v>0</v>
      </c>
    </row>
    <row s="4331" customFormat="1" customHeight="1" ht="14.25">
      <c r="A86" s="4091"/>
      <c r="B86" s="4091"/>
      <c r="C86" s="4091"/>
      <c r="D86" s="4091"/>
      <c r="E86" s="3913">
        <v>1</v>
      </c>
      <c r="F86" s="4091"/>
      <c r="G86" s="4091"/>
      <c r="H86" s="4091"/>
      <c r="I86" s="4091"/>
      <c r="J86" s="4091"/>
      <c r="K86" s="4091"/>
      <c r="L86" s="4091"/>
      <c r="M86" s="4092"/>
      <c r="N86" s="4101"/>
      <c r="O86" s="4101"/>
      <c r="P86" s="4094"/>
      <c r="Q86" s="4095"/>
      <c r="R86" s="4096"/>
      <c r="S86" s="4095"/>
      <c r="T86" s="4095"/>
      <c r="U86" s="4102"/>
      <c r="V86" s="4106" t="s">
        <v>167</v>
      </c>
      <c r="W86" s="4104"/>
      <c r="X86" s="4104"/>
      <c r="Y86" s="4104"/>
      <c r="Z86" s="4104"/>
      <c r="AA86" s="4104"/>
      <c r="AB86" s="4104"/>
      <c r="AC86" s="4104"/>
      <c r="AD86" s="4104"/>
      <c r="AE86" s="4104"/>
      <c r="AF86" s="4104"/>
      <c r="AG86" s="4104"/>
      <c r="AH86" s="4104"/>
      <c r="AI86" s="4104"/>
      <c r="AJ86" s="4104"/>
      <c r="AK86" s="4104"/>
      <c r="AL86" s="4104"/>
      <c r="AM86" s="4104"/>
      <c r="AN86" s="4104"/>
      <c r="AO86" s="4104"/>
      <c r="AP86" s="4673"/>
      <c r="AQ86" s="4673"/>
      <c r="AR86" s="4673"/>
      <c r="AS86" s="4673"/>
      <c r="AT86" s="4673"/>
      <c r="AU86" s="4673"/>
      <c r="AV86" s="4673"/>
      <c r="AW86" s="4673"/>
      <c r="AX86" s="4673"/>
      <c r="AY86" s="4104"/>
      <c r="AZ86" s="4104"/>
      <c r="BA86" s="3926"/>
      <c r="BB86" s="3927"/>
      <c r="BC86" s="3927" t="str">
        <f>IF(V86="","",V86)</f>
        <v>Добавить территорию для дифференциации</v>
      </c>
      <c r="BD86" s="3927"/>
      <c r="BE86" s="3927"/>
      <c r="BF86" s="3926">
        <v>0</v>
      </c>
    </row>
    <row s="4423" customFormat="1" customHeight="1" ht="4.2">
      <c r="A87" s="1439"/>
      <c r="B87" s="1439"/>
      <c r="C87" s="1439"/>
      <c r="D87" s="1439"/>
      <c r="E87" s="1440"/>
      <c r="F87" s="1439"/>
      <c r="G87" s="1439"/>
      <c r="H87" s="1439"/>
      <c r="I87" s="1439"/>
      <c r="J87" s="1439"/>
      <c r="K87" s="1439"/>
      <c r="L87" s="1439"/>
      <c r="M87" s="1442"/>
      <c r="N87" s="1444"/>
      <c r="O87" s="1444"/>
      <c r="P87" s="416"/>
      <c r="Q87" s="1381"/>
      <c r="R87" s="1382"/>
      <c r="S87" s="1381"/>
      <c r="T87" s="1381"/>
      <c r="U87" s="1387"/>
      <c r="V87" s="1390" t="s">
        <v>168</v>
      </c>
      <c r="W87" s="1389"/>
      <c r="X87" s="1389"/>
      <c r="Y87" s="1389"/>
      <c r="Z87" s="1389"/>
      <c r="AA87" s="1389"/>
      <c r="AB87" s="1389"/>
      <c r="AC87" s="1389"/>
      <c r="AD87" s="1389"/>
      <c r="AE87" s="1389"/>
      <c r="AF87" s="1389"/>
      <c r="AG87" s="1389"/>
      <c r="AH87" s="1389"/>
      <c r="AI87" s="1389"/>
      <c r="AJ87" s="1389"/>
      <c r="AK87" s="1389"/>
      <c r="AL87" s="1389"/>
      <c r="AM87" s="1389"/>
      <c r="AN87" s="1389"/>
      <c r="AO87" s="1389"/>
      <c r="AP87" s="4673"/>
      <c r="AQ87" s="4673"/>
      <c r="AR87" s="4673"/>
      <c r="AS87" s="4673"/>
      <c r="AT87" s="4673"/>
      <c r="AU87" s="4673"/>
      <c r="AV87" s="4673"/>
      <c r="AW87" s="4673"/>
      <c r="AX87" s="4673"/>
      <c r="AY87" s="1389"/>
      <c r="AZ87" s="1389"/>
      <c r="BB87" s="854"/>
      <c r="BC87" s="854" t="str">
        <f>IF(V87="","",V87)</f>
        <v>Добавить наименование тарифа</v>
      </c>
      <c r="BD87" s="854"/>
      <c r="BE87" s="854"/>
      <c r="BF87" s="583">
        <v>4</v>
      </c>
    </row>
    <row customHeight="1" ht="11.549999999999999">
      <c r="N88" s="1220"/>
      <c r="O88" s="1220"/>
      <c r="P88" s="574"/>
      <c r="Q88" s="1220"/>
      <c r="R88" s="1220"/>
      <c r="S88" s="1220"/>
      <c r="T88" s="1220"/>
      <c r="U88" s="1220"/>
      <c r="AP88" s="4921"/>
      <c r="AQ88" s="4921"/>
      <c r="AR88" s="4921"/>
      <c r="AS88" s="4921"/>
      <c r="AT88" s="4921"/>
      <c r="AU88" s="4921"/>
      <c r="AV88" s="4921"/>
      <c r="AW88" s="4921"/>
      <c r="AX88" s="5908"/>
      <c r="BA88" s="1220"/>
      <c r="BB88" s="1220"/>
      <c r="BC88" s="1220"/>
      <c r="BD88" s="1220"/>
      <c r="BE88" s="1220"/>
      <c r="BF88" s="1220">
        <v>11</v>
      </c>
    </row>
    <row customHeight="1" ht="35.699999999999996">
      <c r="P89" s="574"/>
      <c r="U89" s="1318"/>
      <c r="V89" s="2350"/>
      <c r="W89" s="2350"/>
      <c r="X89" s="2350"/>
      <c r="Y89" s="2350"/>
      <c r="Z89" s="2350"/>
      <c r="AA89" s="2350"/>
      <c r="AB89" s="2350"/>
      <c r="AC89" s="2350"/>
      <c r="AD89" s="2350"/>
      <c r="AE89" s="2350"/>
      <c r="AF89" s="2350"/>
      <c r="AG89" s="2350"/>
      <c r="AH89" s="2350"/>
      <c r="AI89" s="2350"/>
      <c r="AJ89" s="2350"/>
      <c r="AK89" s="2350"/>
      <c r="AL89" s="2350"/>
      <c r="AM89" s="2350"/>
      <c r="AN89" s="2350"/>
      <c r="AO89" s="2350"/>
      <c r="AP89" s="5624"/>
      <c r="AQ89" s="5624"/>
      <c r="AR89" s="5624"/>
      <c r="AS89" s="5624"/>
      <c r="AT89" s="5624"/>
      <c r="AU89" s="5624"/>
      <c r="AV89" s="5624"/>
      <c r="AW89" s="5624"/>
      <c r="AX89" s="5948"/>
      <c r="AY89" s="2350"/>
      <c r="AZ89" s="2350"/>
      <c r="BF89" s="1220">
        <v>34</v>
      </c>
    </row>
    <row customHeight="1" ht="21">
      <c r="P90" s="574"/>
      <c r="V90" s="2350"/>
      <c r="W90" s="2350"/>
      <c r="X90" s="2350"/>
      <c r="Y90" s="2350"/>
      <c r="Z90" s="2350"/>
      <c r="AA90" s="2350"/>
      <c r="AB90" s="2350"/>
      <c r="AC90" s="2350"/>
      <c r="AD90" s="2350"/>
      <c r="AE90" s="2350"/>
      <c r="AF90" s="2350"/>
      <c r="AG90" s="2350"/>
      <c r="AH90" s="2350"/>
      <c r="AI90" s="2350"/>
      <c r="AJ90" s="2350"/>
      <c r="AK90" s="2350"/>
      <c r="AL90" s="2350"/>
      <c r="AM90" s="2350"/>
      <c r="AN90" s="2350"/>
      <c r="AO90" s="2350"/>
      <c r="AP90" s="5624"/>
      <c r="AQ90" s="5624"/>
      <c r="AR90" s="5624"/>
      <c r="AS90" s="5624"/>
      <c r="AT90" s="5624"/>
      <c r="AU90" s="5624"/>
      <c r="AV90" s="5624"/>
      <c r="AW90" s="5624"/>
      <c r="AX90" s="5948"/>
      <c r="AY90" s="2350"/>
      <c r="AZ90" s="2350"/>
      <c r="BF90" s="1220">
        <v>20</v>
      </c>
    </row>
    <row customHeight="1" ht="14.699999999999998">
      <c r="P91" s="574"/>
      <c r="AP91" s="4921"/>
      <c r="AQ91" s="4921"/>
      <c r="AR91" s="4921"/>
      <c r="AS91" s="4921"/>
      <c r="AT91" s="4921"/>
      <c r="AU91" s="4921"/>
      <c r="AV91" s="4921"/>
      <c r="AW91" s="4921"/>
      <c r="AX91" s="5908"/>
      <c r="BF91" s="1220">
        <v>14</v>
      </c>
    </row>
    <row customHeight="1" ht="28.5">
      <c r="P92" s="574"/>
      <c r="V92" s="2350"/>
      <c r="W92" s="2350"/>
      <c r="X92" s="2350"/>
      <c r="Y92" s="2350"/>
      <c r="Z92" s="2350"/>
      <c r="AA92" s="2350"/>
      <c r="AB92" s="2350"/>
      <c r="AC92" s="2350"/>
      <c r="AD92" s="2350"/>
      <c r="AE92" s="2350"/>
      <c r="AF92" s="2350"/>
      <c r="AG92" s="2350"/>
      <c r="AH92" s="2350"/>
      <c r="AI92" s="2350"/>
      <c r="AJ92" s="2350"/>
      <c r="AK92" s="2350"/>
      <c r="AL92" s="2350"/>
      <c r="AM92" s="2350"/>
      <c r="AN92" s="2350"/>
      <c r="AO92" s="2350"/>
      <c r="AP92" s="5624"/>
      <c r="AQ92" s="5624"/>
      <c r="AR92" s="5624"/>
      <c r="AS92" s="5624"/>
      <c r="AT92" s="5624"/>
      <c r="AU92" s="5624"/>
      <c r="AV92" s="5624"/>
      <c r="AW92" s="5624"/>
      <c r="AX92" s="5948"/>
      <c r="AY92" s="2350"/>
      <c r="AZ92" s="2350"/>
      <c r="BF92" s="1220">
        <v>27</v>
      </c>
    </row>
    <row customHeight="1" ht="18.75">
      <c r="P93" s="574"/>
      <c r="V93" s="2350"/>
      <c r="W93" s="2350"/>
      <c r="X93" s="2350"/>
      <c r="Y93" s="2350"/>
      <c r="Z93" s="2350"/>
      <c r="AA93" s="2350"/>
      <c r="AB93" s="2350"/>
      <c r="AC93" s="2350"/>
      <c r="AD93" s="2350"/>
      <c r="AE93" s="2350"/>
      <c r="AF93" s="2350"/>
      <c r="AG93" s="2350"/>
      <c r="AH93" s="2350"/>
      <c r="AI93" s="2350"/>
      <c r="AJ93" s="2350"/>
      <c r="AK93" s="2350"/>
      <c r="AL93" s="2350"/>
      <c r="AM93" s="2350"/>
      <c r="AN93" s="2350"/>
      <c r="AO93" s="2350"/>
      <c r="AP93" s="5624"/>
      <c r="AQ93" s="5624"/>
      <c r="AR93" s="5624"/>
      <c r="AS93" s="5624"/>
      <c r="AT93" s="5624"/>
      <c r="AU93" s="5624"/>
      <c r="AV93" s="5624"/>
      <c r="AW93" s="5624"/>
      <c r="AX93" s="5948"/>
      <c r="AY93" s="2350"/>
      <c r="AZ93" s="2350"/>
      <c r="BF93" s="1220">
        <v>18</v>
      </c>
    </row>
    <row customHeight="1" ht="22.5" hidden="1">
      <c r="A94" s="1220" t="s">
        <v>85</v>
      </c>
      <c r="B94" s="1220">
        <v>0</v>
      </c>
      <c r="C94" s="1220">
        <v>0</v>
      </c>
      <c r="D94" s="1220">
        <v>0</v>
      </c>
      <c r="E94" s="1220">
        <v>0</v>
      </c>
      <c r="F94" s="1220">
        <v>0</v>
      </c>
      <c r="G94" s="1220">
        <v>0</v>
      </c>
      <c r="H94" s="1220">
        <v>0</v>
      </c>
      <c r="I94" s="1220">
        <v>0</v>
      </c>
      <c r="J94" s="1220">
        <v>0</v>
      </c>
      <c r="K94" s="1220">
        <v>0</v>
      </c>
      <c r="L94" s="1220">
        <v>0</v>
      </c>
      <c r="M94" s="1392">
        <v>0</v>
      </c>
      <c r="N94" s="1393">
        <v>0</v>
      </c>
      <c r="O94" s="1393">
        <v>0</v>
      </c>
      <c r="P94" s="1393">
        <v>0</v>
      </c>
      <c r="Q94" s="1393">
        <v>0</v>
      </c>
      <c r="R94" s="409">
        <v>3</v>
      </c>
      <c r="S94" s="409">
        <v>3</v>
      </c>
      <c r="T94" s="409">
        <v>3</v>
      </c>
      <c r="U94" s="646">
        <v>12</v>
      </c>
      <c r="V94" s="1220">
        <v>31</v>
      </c>
      <c r="W94" s="1220">
        <v>0</v>
      </c>
      <c r="X94" s="1220">
        <v>0</v>
      </c>
      <c r="Y94" s="1220">
        <v>0</v>
      </c>
      <c r="Z94" s="1220">
        <v>0</v>
      </c>
      <c r="AA94" s="1220">
        <v>0</v>
      </c>
      <c r="AB94" s="1220">
        <v>0</v>
      </c>
      <c r="AC94" s="1220">
        <v>0</v>
      </c>
      <c r="AD94" s="1220">
        <v>0</v>
      </c>
      <c r="AE94" s="1220">
        <v>0</v>
      </c>
      <c r="AF94" s="1220">
        <v>0</v>
      </c>
      <c r="AG94" s="1220">
        <v>21</v>
      </c>
      <c r="AH94" s="1220">
        <v>21</v>
      </c>
      <c r="AI94" s="1220">
        <v>21</v>
      </c>
      <c r="AJ94" s="1220">
        <v>21</v>
      </c>
      <c r="AK94" s="1220">
        <v>21</v>
      </c>
      <c r="AL94" s="1220">
        <v>11</v>
      </c>
      <c r="AM94" s="1220">
        <v>3</v>
      </c>
      <c r="AN94" s="1220">
        <v>11</v>
      </c>
      <c r="AO94" s="1220">
        <v>8</v>
      </c>
      <c r="AP94" s="4921">
        <v>0</v>
      </c>
      <c r="AQ94" s="4921">
        <v>0</v>
      </c>
      <c r="AR94" s="4921">
        <v>0</v>
      </c>
      <c r="AS94" s="4921">
        <v>0</v>
      </c>
      <c r="AT94" s="4921">
        <v>0</v>
      </c>
      <c r="AU94" s="4921">
        <v>0</v>
      </c>
      <c r="AV94" s="4921">
        <v>0</v>
      </c>
      <c r="AW94" s="4921">
        <v>0</v>
      </c>
      <c r="AX94" s="5908">
        <v>0</v>
      </c>
      <c r="AY94" s="1220">
        <v>4</v>
      </c>
      <c r="AZ94" s="1220">
        <v>115</v>
      </c>
      <c r="BA94" s="576">
        <v>10</v>
      </c>
      <c r="BB94" s="576">
        <v>10</v>
      </c>
      <c r="BC94" s="576">
        <v>10</v>
      </c>
      <c r="BD94" s="576">
        <v>10</v>
      </c>
      <c r="BE94" s="576">
        <v>10</v>
      </c>
      <c r="BF94" s="1220">
        <v>23</v>
      </c>
    </row>
  </sheetData>
  <sheetProtection formatColumns="0" formatRows="0" autoFilter="0" sort="0" insertRows="0" insertColumns="1" deleteRows="0" deleteColumns="0"/>
  <mergeCells count="205">
    <mergeCell ref="V93:AZ93"/>
    <mergeCell ref="U39:V39"/>
    <mergeCell ref="X39:AE39"/>
    <mergeCell ref="AG39:AN39"/>
    <mergeCell ref="U38:V38"/>
    <mergeCell ref="X38:AE38"/>
    <mergeCell ref="AG38:AN38"/>
    <mergeCell ref="AL55:AL58"/>
    <mergeCell ref="AM55:AM58"/>
    <mergeCell ref="AN55:AN58"/>
    <mergeCell ref="AO55:AO58"/>
    <mergeCell ref="V92:AZ92"/>
    <mergeCell ref="AZ42:AZ47"/>
    <mergeCell ref="AZ56:AZ59"/>
    <mergeCell ref="V89:AZ89"/>
    <mergeCell ref="V90:AZ90"/>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72:AZ75"/>
    <mergeCell ref="J70:J75"/>
    <mergeCell ref="R70:R75"/>
    <mergeCell ref="X70:AF70"/>
    <mergeCell ref="AG70:AY70"/>
    <mergeCell ref="S71:S74"/>
    <mergeCell ref="K71:K74"/>
    <mergeCell ref="L72:L73"/>
    <mergeCell ref="AC71:AC74"/>
    <mergeCell ref="AE71:AE74"/>
    <mergeCell ref="AD71:AD74"/>
    <mergeCell ref="AF71:AF74"/>
    <mergeCell ref="AL71:AL74"/>
    <mergeCell ref="AM71:AM74"/>
    <mergeCell ref="AN71:AN74"/>
    <mergeCell ref="AO71:AO74"/>
    <mergeCell ref="E65:E86"/>
    <mergeCell ref="X65:AF65"/>
    <mergeCell ref="AG65:AY65"/>
    <mergeCell ref="F66:F85"/>
    <mergeCell ref="X66:AF66"/>
    <mergeCell ref="AG66:AY66"/>
    <mergeCell ref="G67:G84"/>
    <mergeCell ref="X67:AF67"/>
    <mergeCell ref="AG67:AY67"/>
    <mergeCell ref="H68:H83"/>
    <mergeCell ref="X68:AF68"/>
    <mergeCell ref="AG68:AY68"/>
    <mergeCell ref="I69:I82"/>
    <mergeCell ref="Q69:Q82"/>
    <mergeCell ref="X69:AF69"/>
    <mergeCell ref="AG69:AY69"/>
    <mergeCell ref="AZ78:AZ81"/>
    <mergeCell ref="J76:J81"/>
    <mergeCell ref="R76:R81"/>
    <mergeCell ref="X76:AF76"/>
    <mergeCell ref="AG76:AY76"/>
    <mergeCell ref="S77:S80"/>
    <mergeCell ref="K77:K80"/>
    <mergeCell ref="L78:L79"/>
    <mergeCell ref="AC77:AC80"/>
    <mergeCell ref="AE77:AE80"/>
    <mergeCell ref="AD77:AD80"/>
    <mergeCell ref="AF77:AF80"/>
    <mergeCell ref="AL77:AL80"/>
    <mergeCell ref="AM77:AM80"/>
    <mergeCell ref="AN77:AN80"/>
    <mergeCell ref="AO77:AO80"/>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71:AU74"/>
    <mergeCell ref="AV71:AV74"/>
    <mergeCell ref="AW71:AW74"/>
    <mergeCell ref="AX71:AX74"/>
    <mergeCell ref="AU77:AU80"/>
    <mergeCell ref="AV77:AV80"/>
    <mergeCell ref="AW77:AW80"/>
    <mergeCell ref="AX77:AX80"/>
  </mergeCells>
  <dataValidations count="8">
    <dataValidation type="list" allowBlank="1" showInputMessage="1" showErrorMessage="1" errorTitle="Ошибка" error="Выберите значение из списка" sqref="V65614 V131150 V196686 V262222 V327758 V393294 V458830 V524366 V589902 V655438 V720974 V786510 V852046 V917582 V983118">
      <formula1>kind_of_heat_transfer</formula1>
    </dataValidation>
    <dataValidation type="list" allowBlank="1" showInputMessage="1" showErrorMessage="1" errorTitle="Ошибка" error="Выберите значение из списка" sqref="X983116:Z983116 X65612:Z65612 X131148:Z131148 X196684:Z196684 X262220:Z262220 X327756:Z327756 X393292:Z393292 X458828:Z458828 X524364:Z524364 X589900:Z589900 X655436:Z655436 X720972:Z720972 X786508:Z786508 X852044:Z852044 X917580:Z917580 AG983116:AI983116 AG65612:AI65612 AG131148:AI131148 AG196684:AI196684 AG262220:AI262220 AG327756:AI327756 AG393292:AI393292 AG458828:AI458828 AG524364:AI524364 AG589900:AI589900 AG655436:AI655436 AG720972:AI720972 AG786508:AI786508 AG852044:AI852044 AG917580:AI917580">
      <formula1>kind_of_scheme_in</formula1>
    </dataValidation>
    <dataValidation type="list" allowBlank="1" showInputMessage="1" errorTitle="Ошибка" error="Выберите значение из списка" prompt="Выберите значение из списка" sqref="X983117:AY983117 X65613:AY65613 X131149:AY131149 X196685:AY196685 X262221:AY262221 X327757:AY327757 X393293:AY393293 X458829:AY458829 X524365:AY524365 X589901:AY589901 X655437:AY655437 X720973:AY720973 X786509:AY786509 X852045:AY852045 X917581:AY917581">
      <formula1>kind_of_cons</formula1>
    </dataValidation>
    <dataValidation allowBlank="1" sqref="U131152:AZ131158 U196688:AZ196694 U262224:AZ262230 U327760:AZ327766 U393296:AZ393302 U458832:AZ458838 U524368:AZ524374 U589904:AZ589910 U655440:AZ655446 U720976:AZ720982 U786512:AZ786518 U852048:AZ852054 U917584:AZ917590 U983120:AZ983126 U65616:AZ65622"/>
    <dataValidation type="textLength" operator="lessThanOrEqual" allowBlank="1" showInputMessage="1" showErrorMessage="1" errorTitle="Ошибка" error="Допускается ввод не более 900 символов!" sqref="AZ65608:AZ65615 AZ131144:AZ131151 AZ196680:AZ196687 AZ262216:AZ262223 AZ327752:AZ327759 AZ393288:AZ393295 AZ458824:AZ458831 AZ524360:AZ524367 AZ589896:AZ589903 AZ655432:AZ655439 AZ720968:AZ720975 AZ786504:AZ786511 AZ852040:AZ852047 AZ917576:AZ917583 AZ983112:AZ9831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14 AC131150 AC196686 AC262222 AC327758 AC393294 AC458830 AC524366 AC589902 AC655438 AC720974 AC786510 AC852046 AC917582 AC983118 AE65614 AE131150 AE196686 AE262222 AE327758 AE393294 AE458830 AE524366 AE589902 AE655438 AE720974 AE786510 AE852046 AE917582 AE983118 AN55 AL65614 AL131150 AL196686 AL262222 AL327758 AL393294 AL458830 AL524366 AL589902 AL655438 AL720974 AL786510 AL852046 AL917582 AL983118 AN65614 AN131150 AN196686 AN262222 AN327758 AN393294 AN458830 AN524366 AN589902 AN655438 AN720974 AN786510 AN852046 AN917582 AN983118 AC55 AE55 AL55 AE8 AC8 AL19:AL21 AN19:AN21 AN8 AL8 AC71 AE71 AL71 AN71 AC77 AE77 AL77 AN77 AU8 AW8 AU55 AW55 AU71 AW71 AU77 AW77"/>
    <dataValidation allowBlank="1" promptTitle="checkPeriodRange" sqref="AB65615 AB131151 AB196687 AB262223 AB327759 AB393295 AB458831 AB524367 AB589903 AB655439 AB720975 AB786511 AB852047 AB917583 AB983119 AB10:AB11 AK65615 AK131151 AK196687 AK262223 AK327759 AK393295 AK458831 AK524367 AK589903 AK655439 AK720975 AK786511 AK852047 AK917583 AK983119 AK10:AK11 AK57 AK22 AB57 AB73 AK73 AB74 AK74 AB79 AK79 AB80 AK80 AT10 AT11 AT57 AT73 AT74 AT79 AT80"/>
    <dataValidation allowBlank="1" showInputMessage="1" showErrorMessage="1" prompt="Для выбора выполните двойной щелчок левой клавиши мыши по соответствующей ячейке." sqref="AD65614 AD131150 AD196686 AD262222 AD327758 AD393294 AD458830 AD524366 AD589902 AD655438 AD720974 AD786510 AD852046 AD917582 AD983118 AF131150 AF458830 AF196686 AF262222 AF327758 AF393294 AF524366 AF589902 AF655438 AF720974 AF786510 AF852046 AF917582 AF983118 AF65614 AM65614 AM131150 AM196686 AM262222 AM327758 AM393294 AM458830 AM524366 AM589902 AM655438 AM720974 AM786510 AM852046 AM917582 AM983118 AO393294:AX393294 AO327758:AX327758 AO524366:AX524366 AO55 AV55 AX55 AO589902:AX589902 AO655438:AX655438 AO19:AO21 AO720974:AX720974 AO786510:AX786510 AO852046:AX852046 AO917582:AX917582 AO983118:AX983118 AO65614:AX65614 AO131150:AX131150 AO458830:AX458830 AF55 AO196686:AX196686 AF8 AD8 AM55 AM19:AM21 AO262222:AX262222 AD55 AO8 AV8 AX8 AM8 AD71 AF71 AM71 AO71 AV71 AX71 AD77 AF77 AM77 AO77 AV77 AX7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05236-68AB-7DBC-CEBE-334230306C3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2.00390625" hidden="1" customWidth="1"/>
    <col min="10" max="10" style="4903" width="9.8515625" hidden="1" customWidth="1"/>
    <col min="11" max="11" style="4903" width="11.421875" hidden="1" customWidth="1"/>
    <col min="12" max="12" style="5422" width="19.140625" hidden="1" customWidth="1"/>
    <col min="13" max="14" style="4107" width="12.28125" hidden="1" customWidth="1"/>
    <col min="15" max="15" style="4107" width="23.421875" hidden="1" customWidth="1"/>
    <col min="16" max="16" style="4107" width="3.00390625" customWidth="1"/>
    <col min="17" max="17" style="3716" width="3.00390625" customWidth="1"/>
    <col min="18" max="18" style="4943" width="3.00390625" customWidth="1"/>
    <col min="19" max="19" style="5599" width="12.00390625" customWidth="1"/>
    <col min="20" max="20" style="4921" width="31.00390625" customWidth="1"/>
    <col min="21" max="21" style="4921" width="0.140625" customWidth="1"/>
    <col min="22" max="23" style="4921" width="21.7109375" hidden="1" customWidth="1"/>
    <col min="24" max="24" style="4921" width="11.7109375" hidden="1" customWidth="1"/>
    <col min="25" max="25" style="4921" width="3.7109375" hidden="1" customWidth="1"/>
    <col min="26" max="26" style="4921" width="11.7109375" hidden="1" customWidth="1"/>
    <col min="27" max="27" style="4921" width="8.57421875" hidden="1" customWidth="1"/>
    <col min="28" max="28" style="4921" width="5.421875" customWidth="1"/>
    <col min="29" max="30" style="4921" width="3.00390625" customWidth="1"/>
    <col min="31" max="31" style="4921" width="24.00390625" customWidth="1"/>
    <col min="32" max="32" style="4921" width="3.7109375" customWidth="1"/>
    <col min="33" max="34" style="4921" width="3.00390625" customWidth="1"/>
    <col min="35" max="35" style="4921" width="24.00390625" customWidth="1"/>
    <col min="36" max="36" style="4921" width="3.7109375" customWidth="1"/>
    <col min="37" max="38" style="4921" width="3.00390625" customWidth="1"/>
    <col min="39" max="39" style="4921" width="18.00390625" customWidth="1"/>
    <col min="40" max="41" style="4921" width="21.00390625" customWidth="1"/>
    <col min="42" max="42" style="4921" width="11.00390625" customWidth="1"/>
    <col min="43" max="43" style="4921" width="3.7109375" customWidth="1"/>
    <col min="44" max="44" style="4921" width="11.00390625" customWidth="1"/>
    <col min="45" max="45" style="4921" width="8.57421875" hidden="1" customWidth="1"/>
    <col min="46" max="46" style="4921" width="4.00390625" customWidth="1"/>
    <col min="47" max="47" style="4921" width="115.00390625" customWidth="1"/>
    <col min="48" max="52" style="4423" width="10.00390625" customWidth="1"/>
    <col min="53" max="53" style="4921"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126</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415</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416</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417</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418</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419</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420</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421</v>
      </c>
      <c r="AW5" s="565"/>
      <c r="AX5" s="565" t="str">
        <f>IF(T5="","",T5)</f>
        <v>Источник тепловой энергии  </v>
      </c>
      <c r="AY5" s="565"/>
      <c r="AZ5" s="565"/>
      <c r="BA5" s="1220">
        <v>0</v>
      </c>
    </row>
    <row s="4423" customFormat="1" customHeight="1" ht="0.75" hidden="1">
      <c r="A6" s="1408"/>
      <c r="B6" s="1408"/>
      <c r="C6" s="1408"/>
      <c r="D6" s="1408"/>
      <c r="E6" s="2324"/>
      <c r="F6" s="2324"/>
      <c r="G6" s="2324"/>
      <c r="H6" s="2324"/>
      <c r="I6" s="2321">
        <f>S5&amp;".1"</f>
      </c>
      <c r="J6" s="1408"/>
      <c r="K6" s="1408"/>
      <c r="L6" s="1411" t="s">
        <v>422</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423"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64</v>
      </c>
      <c r="Z8" s="2330"/>
      <c r="AA8" s="2172" t="s">
        <v>64</v>
      </c>
      <c r="AB8" s="2172" t="s">
        <v>19</v>
      </c>
      <c r="AC8" s="2391"/>
      <c r="AD8" s="2270">
        <v>1</v>
      </c>
      <c r="AE8" s="2392"/>
      <c r="AF8" s="2172" t="s">
        <v>19</v>
      </c>
      <c r="AG8" s="2391"/>
      <c r="AH8" s="2270">
        <v>1</v>
      </c>
      <c r="AI8" s="2392"/>
      <c r="AJ8" s="2172" t="s">
        <v>19</v>
      </c>
      <c r="AK8" s="376"/>
      <c r="AL8" s="1402">
        <v>1</v>
      </c>
      <c r="AM8" s="1463"/>
      <c r="AN8" s="816"/>
      <c r="AO8" s="1322"/>
      <c r="AP8" s="1799"/>
      <c r="AQ8" s="1524" t="s">
        <v>64</v>
      </c>
      <c r="AR8" s="1799"/>
      <c r="AS8" s="1524" t="s">
        <v>64</v>
      </c>
      <c r="AT8" s="1413"/>
      <c r="AU8" s="2318" t="s">
        <v>484</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485</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486</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487</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488</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423"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423"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423"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165</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423"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166</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423"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167</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64</v>
      </c>
      <c r="AR19" s="1801"/>
      <c r="AS19" s="1525" t="s">
        <v>64</v>
      </c>
      <c r="BA19" s="1220">
        <v>0</v>
      </c>
    </row>
    <row customHeight="1" ht="14.25" hidden="1">
      <c r="AV20" s="561"/>
      <c r="AW20" s="561"/>
      <c r="AX20" s="561"/>
      <c r="AY20" s="561"/>
      <c r="AZ20" s="561"/>
      <c r="BA20" s="1220">
        <v>0</v>
      </c>
    </row>
    <row customHeight="1" ht="14.25" hidden="1">
      <c r="O21" s="1432" t="s">
        <v>433</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4146" customFormat="1" customHeight="1" ht="14.25" hidden="1">
      <c r="M23" s="1573"/>
      <c r="N23" s="1573"/>
      <c r="O23" s="1574" t="s">
        <v>434</v>
      </c>
      <c r="P23" s="1573"/>
      <c r="Q23" s="1575"/>
      <c r="R23" s="1575"/>
      <c r="Y23" s="1572" t="s">
        <v>436</v>
      </c>
      <c r="AA23" s="1572" t="s">
        <v>437</v>
      </c>
      <c r="AB23" s="1572" t="s">
        <v>489</v>
      </c>
      <c r="AE23" s="1572" t="s">
        <v>490</v>
      </c>
      <c r="AF23" s="1572" t="s">
        <v>489</v>
      </c>
      <c r="AI23" s="1572" t="s">
        <v>491</v>
      </c>
      <c r="AJ23" s="1572" t="s">
        <v>489</v>
      </c>
      <c r="AM23" s="1572" t="s">
        <v>492</v>
      </c>
      <c r="AQ23" s="1572" t="s">
        <v>436</v>
      </c>
      <c r="AS23" s="1572" t="s">
        <v>437</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Филиал ПАО "ОГК-2"-Ставропольская ГРЭС</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485" customFormat="1" customHeight="1" ht="25.5">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Региональная тарифная комиссия Ставропольского края</v>
      </c>
      <c r="W30" s="2316"/>
      <c r="X30" s="2316"/>
      <c r="Y30" s="2316"/>
      <c r="Z30" s="2316"/>
      <c r="AA30" s="391"/>
      <c r="AB30" s="2316" t="str">
        <f>IF(TITLE_NAME_OR_PR_CHANGE="",IF(TITLE_NAME_OR_PR="","",TITLE_NAME_OR_PR),TITLE_NAME_OR_PR_CHANGE)</f>
        <v>Региональная тарифная комиссия Ставропольского края</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485" customFormat="1" customHeight="1" ht="18.75">
      <c r="A31" s="1433"/>
      <c r="B31" s="1433"/>
      <c r="C31" s="1433"/>
      <c r="D31" s="1433"/>
      <c r="E31" s="1433"/>
      <c r="F31" s="1433"/>
      <c r="G31" s="1433"/>
      <c r="H31" s="1433"/>
      <c r="I31" s="1433"/>
      <c r="J31" s="1433"/>
      <c r="K31" s="1433"/>
      <c r="L31" s="1434"/>
      <c r="M31" s="1433"/>
      <c r="N31" s="1433"/>
      <c r="O31" s="1433"/>
      <c r="P31" s="1433"/>
      <c r="Q31" s="1433"/>
      <c r="S31" s="2315" t="s">
        <v>439</v>
      </c>
      <c r="T31" s="2315"/>
      <c r="U31" s="1437"/>
      <c r="V31" s="2329" t="str">
        <f>IF(TITLE_DATE_PR_CHANGE="",IF(TITLE_DATE_PR="","",TITLE_DATE_PR),TITLE_DATE_PR_CHANGE)</f>
        <v>45643.434652777774</v>
      </c>
      <c r="W31" s="2329"/>
      <c r="X31" s="2329"/>
      <c r="Y31" s="2329"/>
      <c r="Z31" s="2329"/>
      <c r="AA31" s="391"/>
      <c r="AB31" s="2329" t="str">
        <f>IF(TITLE_DATE_PR_CHANGE="",IF(TITLE_DATE_PR="","",TITLE_DATE_PR),TITLE_DATE_PR_CHANGE)</f>
        <v>45643.434652777774</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485" customFormat="1" customHeight="1" ht="18.75">
      <c r="A32" s="1433"/>
      <c r="B32" s="1433"/>
      <c r="C32" s="1433"/>
      <c r="D32" s="1433"/>
      <c r="E32" s="1433"/>
      <c r="F32" s="1433"/>
      <c r="G32" s="1433"/>
      <c r="H32" s="1433"/>
      <c r="I32" s="1433"/>
      <c r="J32" s="1433"/>
      <c r="K32" s="1433"/>
      <c r="L32" s="1434"/>
      <c r="M32" s="1433"/>
      <c r="N32" s="1433"/>
      <c r="O32" s="1433"/>
      <c r="P32" s="1433"/>
      <c r="Q32" s="1433"/>
      <c r="S32" s="2315" t="s">
        <v>440</v>
      </c>
      <c r="T32" s="2315"/>
      <c r="U32" s="1437"/>
      <c r="V32" s="2316" t="str">
        <f>IF(TITLE_NUMBER_PR_CHANGE="",IF(TITLE_NUMBER_PR="","",TITLE_NUMBER_PR),TITLE_NUMBER_PR_CHANGE)</f>
        <v>71/2</v>
      </c>
      <c r="W32" s="2316"/>
      <c r="X32" s="2316"/>
      <c r="Y32" s="2316"/>
      <c r="Z32" s="2316"/>
      <c r="AA32" s="391"/>
      <c r="AB32" s="2316" t="str">
        <f>IF(TITLE_NUMBER_PR_CHANGE="",IF(TITLE_NUMBER_PR="","",TITLE_NUMBER_PR),TITLE_NUMBER_PR_CHANGE)</f>
        <v>71/2</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485" customFormat="1" customHeight="1" ht="18.75">
      <c r="A33" s="1433"/>
      <c r="B33" s="1433"/>
      <c r="C33" s="1433"/>
      <c r="D33" s="1433"/>
      <c r="E33" s="1433"/>
      <c r="F33" s="1433"/>
      <c r="G33" s="1433"/>
      <c r="H33" s="1433"/>
      <c r="I33" s="1433"/>
      <c r="J33" s="1433"/>
      <c r="K33" s="1433"/>
      <c r="L33" s="1434"/>
      <c r="M33" s="1433"/>
      <c r="N33" s="1433"/>
      <c r="O33" s="1433"/>
      <c r="P33" s="1433"/>
      <c r="Q33" s="1433"/>
      <c r="S33" s="2315" t="s">
        <v>44</v>
      </c>
      <c r="T33" s="2315"/>
      <c r="U33" s="1437"/>
      <c r="V33" s="2316" t="str">
        <f>IF(TITLE_IST_PUB_CHANGE="",IF(TITLE_IST_PUB="","",TITLE_IST_PUB),TITLE_IST_PUB_CHANGE)</f>
        <v>Официальный интернет-портал правовой информации Ставропольского края</v>
      </c>
      <c r="W33" s="2316"/>
      <c r="X33" s="2316"/>
      <c r="Y33" s="2316"/>
      <c r="Z33" s="2316"/>
      <c r="AA33" s="391"/>
      <c r="AB33" s="2316" t="str">
        <f>IF(TITLE_IST_PUB_CHANGE="",IF(TITLE_IST_PUB="","",TITLE_IST_PUB),TITLE_IST_PUB_CHANGE)</f>
        <v>Официальный интернет-портал правовой информации Ставропольского края</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485"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439</v>
      </c>
      <c r="T35" s="2315"/>
      <c r="U35" s="1437"/>
      <c r="V35" s="2329" t="str">
        <f>IF(TITLE_DATE_PR_CHANGE="",IF(TITLE_DATE_PR="","",TITLE_DATE_PR),TITLE_DATE_PR_CHANGE)</f>
        <v>45643.434652777774</v>
      </c>
      <c r="W35" s="2329"/>
      <c r="X35" s="2329"/>
      <c r="Y35" s="2329"/>
      <c r="Z35" s="2329"/>
      <c r="AA35" s="391"/>
      <c r="AB35" s="2329" t="str">
        <f>IF(TITLE_DATE_PR_CHANGE="",IF(TITLE_DATE_PR="","",TITLE_DATE_PR),TITLE_DATE_PR_CHANGE)</f>
        <v>45643.434652777774</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485"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440</v>
      </c>
      <c r="T36" s="2315"/>
      <c r="U36" s="1437"/>
      <c r="V36" s="2316" t="str">
        <f>IF(TITLE_NUMBER_PR_CHANGE="",IF(TITLE_NUMBER_PR="","",TITLE_NUMBER_PR),TITLE_NUMBER_PR_CHANGE)</f>
        <v>71/2</v>
      </c>
      <c r="W36" s="2316"/>
      <c r="X36" s="2316"/>
      <c r="Y36" s="2316"/>
      <c r="Z36" s="2316"/>
      <c r="AA36" s="391"/>
      <c r="AB36" s="2316" t="str">
        <f>IF(TITLE_NUMBER_PR_CHANGE="",IF(TITLE_NUMBER_PR="","",TITLE_NUMBER_PR),TITLE_NUMBER_PR_CHANGE)</f>
        <v>71/2</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485"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443</v>
      </c>
      <c r="AB37" s="391"/>
      <c r="AC37" s="391"/>
      <c r="AD37" s="391"/>
      <c r="AE37" s="391"/>
      <c r="AF37" s="391"/>
      <c r="AG37" s="391"/>
      <c r="AH37" s="391"/>
      <c r="AI37" s="391"/>
      <c r="AJ37" s="391"/>
      <c r="AK37" s="391"/>
      <c r="AL37" s="391"/>
      <c r="AM37" s="391"/>
      <c r="AN37" s="391"/>
      <c r="AO37" s="391"/>
      <c r="AP37" s="391"/>
      <c r="AQ37" s="391"/>
      <c r="AR37" s="391"/>
      <c r="AS37" s="343" t="s">
        <v>443</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319</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320</v>
      </c>
      <c r="BA39" s="1220">
        <v>14</v>
      </c>
    </row>
    <row customHeight="1" ht="14.699999999999998">
      <c r="Q40" s="356"/>
      <c r="R40" s="441"/>
      <c r="S40" s="2338" t="s">
        <v>91</v>
      </c>
      <c r="T40" s="2274" t="s">
        <v>493</v>
      </c>
      <c r="U40" s="366"/>
      <c r="V40" s="2340"/>
      <c r="W40" s="2340"/>
      <c r="X40" s="2340"/>
      <c r="Y40" s="2340"/>
      <c r="Z40" s="2341"/>
      <c r="AA40" s="2401" t="s">
        <v>446</v>
      </c>
      <c r="AB40" s="2393" t="s">
        <v>494</v>
      </c>
      <c r="AC40" s="2356"/>
      <c r="AD40" s="2356"/>
      <c r="AE40" s="2394"/>
      <c r="AF40" s="2356" t="s">
        <v>495</v>
      </c>
      <c r="AG40" s="2356"/>
      <c r="AH40" s="2356"/>
      <c r="AI40" s="2394"/>
      <c r="AJ40" s="2393" t="s">
        <v>496</v>
      </c>
      <c r="AK40" s="2356"/>
      <c r="AL40" s="2356"/>
      <c r="AM40" s="2394"/>
      <c r="AN40" s="2393" t="s">
        <v>445</v>
      </c>
      <c r="AO40" s="2356"/>
      <c r="AP40" s="2340"/>
      <c r="AQ40" s="2340"/>
      <c r="AR40" s="2341"/>
      <c r="AS40" s="2342" t="s">
        <v>446</v>
      </c>
      <c r="AT40" s="2345" t="s">
        <v>448</v>
      </c>
      <c r="AU40" s="2192"/>
      <c r="BA40" s="1220">
        <v>14</v>
      </c>
    </row>
    <row customHeight="1" ht="35.699999999999996">
      <c r="Q41" s="356"/>
      <c r="R41" s="441"/>
      <c r="S41" s="2338"/>
      <c r="T41" s="2274"/>
      <c r="U41" s="1096"/>
      <c r="V41" s="2192" t="s">
        <v>497</v>
      </c>
      <c r="W41" s="2192"/>
      <c r="X41" s="2359" t="s">
        <v>452</v>
      </c>
      <c r="Y41" s="2378"/>
      <c r="Z41" s="2379"/>
      <c r="AA41" s="2402"/>
      <c r="AB41" s="2395"/>
      <c r="AC41" s="2396"/>
      <c r="AD41" s="2396"/>
      <c r="AE41" s="2397"/>
      <c r="AF41" s="2396"/>
      <c r="AG41" s="2396"/>
      <c r="AH41" s="2396"/>
      <c r="AI41" s="2397"/>
      <c r="AJ41" s="2395"/>
      <c r="AK41" s="2396"/>
      <c r="AL41" s="2396"/>
      <c r="AM41" s="2396"/>
      <c r="AN41" s="2192" t="s">
        <v>497</v>
      </c>
      <c r="AO41" s="2192"/>
      <c r="AP41" s="2378" t="s">
        <v>452</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138</v>
      </c>
      <c r="C43" s="1435" t="s">
        <v>139</v>
      </c>
      <c r="D43" s="1435" t="s">
        <v>140</v>
      </c>
      <c r="E43" s="1429" t="s">
        <v>453</v>
      </c>
      <c r="F43" s="1429" t="s">
        <v>454</v>
      </c>
      <c r="G43" s="1429" t="s">
        <v>455</v>
      </c>
      <c r="H43" s="1429" t="s">
        <v>456</v>
      </c>
      <c r="I43" s="1429" t="s">
        <v>457</v>
      </c>
      <c r="J43" s="1429" t="s">
        <v>458</v>
      </c>
      <c r="K43" s="1429" t="s">
        <v>459</v>
      </c>
      <c r="L43" s="1429" t="s">
        <v>434</v>
      </c>
      <c r="Q43" s="356"/>
      <c r="R43" s="441"/>
      <c r="S43" s="2338"/>
      <c r="T43" s="2274"/>
      <c r="U43" s="367"/>
      <c r="V43" s="1395" t="s">
        <v>498</v>
      </c>
      <c r="W43" s="1395" t="s">
        <v>499</v>
      </c>
      <c r="X43" s="1403" t="s">
        <v>462</v>
      </c>
      <c r="Y43" s="2335" t="s">
        <v>463</v>
      </c>
      <c r="Z43" s="2336"/>
      <c r="AA43" s="2403"/>
      <c r="AB43" s="2398"/>
      <c r="AC43" s="2399"/>
      <c r="AD43" s="2399"/>
      <c r="AE43" s="2400"/>
      <c r="AF43" s="2399"/>
      <c r="AG43" s="2399"/>
      <c r="AH43" s="2399"/>
      <c r="AI43" s="2400"/>
      <c r="AJ43" s="2398"/>
      <c r="AK43" s="2399"/>
      <c r="AL43" s="2399"/>
      <c r="AM43" s="2400"/>
      <c r="AN43" s="1925" t="s">
        <v>498</v>
      </c>
      <c r="AO43" s="1925" t="s">
        <v>499</v>
      </c>
      <c r="AP43" s="1403" t="s">
        <v>462</v>
      </c>
      <c r="AQ43" s="2335" t="s">
        <v>463</v>
      </c>
      <c r="AR43" s="2336"/>
      <c r="AS43" s="2344"/>
      <c r="AT43" s="2347"/>
      <c r="AU43" s="2192"/>
      <c r="BA43" s="1220">
        <v>14</v>
      </c>
    </row>
    <row s="4094"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112</v>
      </c>
      <c r="T44" s="1320" t="s">
        <v>113</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219</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126</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5"/>
      <c r="AX45" s="565" t="str">
        <f>IF(T45="","",T45)</f>
        <v>Наименование тарифа</v>
      </c>
      <c r="AY45" s="565"/>
      <c r="AZ45" s="565"/>
      <c r="BA45" s="1220">
        <v>102</v>
      </c>
    </row>
    <row customHeight="1" ht="22.049999999999997">
      <c r="A46" s="1428" t="s">
        <v>219</v>
      </c>
      <c r="B46" s="1428" t="s">
        <v>220</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416</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417</v>
      </c>
      <c r="AW46" s="565"/>
      <c r="AX46" s="565" t="str">
        <f>IF(T46="","",T46)</f>
        <v>Территория действия тарифа</v>
      </c>
      <c r="AY46" s="565"/>
      <c r="AZ46" s="565"/>
      <c r="BA46" s="1220">
        <v>21</v>
      </c>
    </row>
    <row customHeight="1" ht="24">
      <c r="A47" s="1428" t="s">
        <v>219</v>
      </c>
      <c r="B47" s="1428" t="s">
        <v>220</v>
      </c>
      <c r="C47" s="1428" t="s">
        <v>221</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418</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419</v>
      </c>
      <c r="AW47" s="565"/>
      <c r="AX47" s="565" t="str">
        <f>IF(T47="","",T47)</f>
        <v>Наименование системы теплоснабжения </v>
      </c>
      <c r="AY47" s="565"/>
      <c r="AZ47" s="565"/>
      <c r="BA47" s="1220">
        <v>23</v>
      </c>
    </row>
    <row customHeight="1" ht="21">
      <c r="A48" s="1428" t="s">
        <v>219</v>
      </c>
      <c r="B48" s="1428" t="s">
        <v>220</v>
      </c>
      <c r="C48" s="1428" t="s">
        <v>221</v>
      </c>
      <c r="D48" s="1428" t="s">
        <v>222</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420</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421</v>
      </c>
      <c r="AW48" s="565"/>
      <c r="AX48" s="565" t="str">
        <f>IF(T48="","",T48)</f>
        <v>Источник тепловой энергии  </v>
      </c>
      <c r="AY48" s="565"/>
      <c r="AZ48" s="565"/>
      <c r="BA48" s="1220">
        <v>20</v>
      </c>
    </row>
    <row s="4423" customFormat="1" customHeight="1" ht="1.05">
      <c r="A49" s="1408" t="s">
        <v>219</v>
      </c>
      <c r="B49" s="1408" t="s">
        <v>220</v>
      </c>
      <c r="C49" s="1408" t="s">
        <v>221</v>
      </c>
      <c r="D49" s="1408" t="s">
        <v>222</v>
      </c>
      <c r="E49" s="2324"/>
      <c r="F49" s="2324"/>
      <c r="G49" s="2324"/>
      <c r="H49" s="2324"/>
      <c r="I49" s="2321" t="str">
        <f>S48&amp;".1"</f>
        <v>....1</v>
      </c>
      <c r="J49" s="1408"/>
      <c r="K49" s="1408"/>
      <c r="L49" s="1411" t="s">
        <v>422</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423" customFormat="1" customHeight="1" ht="1.05">
      <c r="A50" s="1408" t="s">
        <v>219</v>
      </c>
      <c r="B50" s="1408" t="s">
        <v>220</v>
      </c>
      <c r="C50" s="1408" t="s">
        <v>221</v>
      </c>
      <c r="D50" s="1408" t="s">
        <v>222</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219</v>
      </c>
      <c r="B51" s="1428" t="s">
        <v>220</v>
      </c>
      <c r="C51" s="1428" t="s">
        <v>221</v>
      </c>
      <c r="D51" s="1428" t="s">
        <v>222</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64</v>
      </c>
      <c r="Z51" s="1799"/>
      <c r="AA51" s="1524" t="s">
        <v>64</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64</v>
      </c>
      <c r="AR51" s="1799"/>
      <c r="AS51" s="1524" t="s">
        <v>64</v>
      </c>
      <c r="AT51" s="1413"/>
      <c r="AU51" s="2318" t="s">
        <v>500</v>
      </c>
      <c r="AV51" s="576">
        <f>STRCHECKDATE(V54:AT54)</f>
      </c>
      <c r="AW51" s="565"/>
      <c r="AX51" s="565" t="str">
        <f>IF(T51="","",T51)</f>
        <v/>
      </c>
      <c r="AY51" s="565"/>
      <c r="AZ51" s="565"/>
      <c r="BA51" s="1220">
        <v>21</v>
      </c>
    </row>
    <row customHeight="1" ht="11.549999999999999">
      <c r="A52" s="1428" t="s">
        <v>219</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485</v>
      </c>
      <c r="AN52" s="1458"/>
      <c r="AO52" s="1561"/>
      <c r="AP52" s="1458"/>
      <c r="AQ52" s="1458"/>
      <c r="AR52" s="1458"/>
      <c r="AS52" s="1458"/>
      <c r="AT52" s="1455"/>
      <c r="AU52" s="2319"/>
      <c r="AW52" s="565"/>
      <c r="AX52" s="565"/>
      <c r="AY52" s="565"/>
      <c r="AZ52" s="565"/>
      <c r="BA52" s="1220">
        <v>11</v>
      </c>
    </row>
    <row customHeight="1" ht="11.549999999999999">
      <c r="A53" s="1428" t="s">
        <v>219</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486</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219</v>
      </c>
      <c r="B54" s="1428" t="s">
        <v>220</v>
      </c>
      <c r="C54" s="1428" t="s">
        <v>221</v>
      </c>
      <c r="D54" s="1428" t="s">
        <v>222</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487</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219</v>
      </c>
      <c r="B55" s="1428" t="s">
        <v>220</v>
      </c>
      <c r="C55" s="1428" t="s">
        <v>221</v>
      </c>
      <c r="D55" s="1428" t="s">
        <v>222</v>
      </c>
      <c r="E55" s="2324"/>
      <c r="F55" s="2324"/>
      <c r="G55" s="2324"/>
      <c r="H55" s="2324"/>
      <c r="I55" s="2351"/>
      <c r="J55" s="2321"/>
      <c r="K55" s="1428"/>
      <c r="L55" s="1429"/>
      <c r="P55" s="2322"/>
      <c r="Q55" s="2322"/>
      <c r="R55" s="421"/>
      <c r="S55" s="1343"/>
      <c r="T55" s="352" t="s">
        <v>488</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423" customFormat="1" customHeight="1" ht="1.05">
      <c r="A56" s="1408" t="s">
        <v>219</v>
      </c>
      <c r="B56" s="1408" t="s">
        <v>220</v>
      </c>
      <c r="C56" s="1408" t="s">
        <v>221</v>
      </c>
      <c r="D56" s="1408" t="s">
        <v>222</v>
      </c>
      <c r="E56" s="2324"/>
      <c r="F56" s="2324"/>
      <c r="G56" s="2324"/>
      <c r="H56" s="2324"/>
      <c r="I56" s="2321"/>
      <c r="J56" s="1408"/>
      <c r="K56" s="1408"/>
      <c r="L56" s="1411"/>
      <c r="M56" s="575"/>
      <c r="N56" s="575"/>
      <c r="O56" s="575"/>
      <c r="P56" s="2322"/>
      <c r="Q56" s="1396"/>
      <c r="R56" s="421"/>
      <c r="S56" s="1451"/>
      <c r="T56" s="1452" t="s">
        <v>431</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4094" customFormat="1" customHeight="1" ht="1.05">
      <c r="A57" s="1408" t="s">
        <v>219</v>
      </c>
      <c r="B57" s="1408" t="s">
        <v>220</v>
      </c>
      <c r="C57" s="1408" t="s">
        <v>221</v>
      </c>
      <c r="D57" s="1408" t="s">
        <v>222</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423" customFormat="1" customHeight="1" ht="1.05">
      <c r="A58" s="1408" t="s">
        <v>219</v>
      </c>
      <c r="B58" s="1408" t="s">
        <v>220</v>
      </c>
      <c r="C58" s="1408" t="s">
        <v>221</v>
      </c>
      <c r="D58" s="1379"/>
      <c r="E58" s="2324"/>
      <c r="F58" s="2324"/>
      <c r="G58" s="2323"/>
      <c r="H58" s="1379"/>
      <c r="I58" s="1379"/>
      <c r="J58" s="1379"/>
      <c r="K58" s="1379"/>
      <c r="L58" s="1404"/>
      <c r="M58" s="1380"/>
      <c r="N58" s="1380"/>
      <c r="P58" s="1381"/>
      <c r="Q58" s="1382"/>
      <c r="R58" s="1381"/>
      <c r="S58" s="1387"/>
      <c r="T58" s="1390" t="s">
        <v>165</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423" customFormat="1" customHeight="1" ht="1.05">
      <c r="A59" s="1408" t="s">
        <v>219</v>
      </c>
      <c r="B59" s="1408" t="s">
        <v>220</v>
      </c>
      <c r="C59" s="1379"/>
      <c r="D59" s="1379"/>
      <c r="E59" s="2324"/>
      <c r="F59" s="2323"/>
      <c r="G59" s="1379"/>
      <c r="H59" s="1379"/>
      <c r="I59" s="1379"/>
      <c r="J59" s="1379"/>
      <c r="K59" s="1379"/>
      <c r="L59" s="1404"/>
      <c r="M59" s="1386"/>
      <c r="N59" s="1386"/>
      <c r="P59" s="1381"/>
      <c r="Q59" s="1382"/>
      <c r="R59" s="1381"/>
      <c r="S59" s="1387"/>
      <c r="T59" s="1390" t="s">
        <v>166</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423" customFormat="1" customHeight="1" ht="1.05">
      <c r="A60" s="1408" t="s">
        <v>219</v>
      </c>
      <c r="B60" s="1408"/>
      <c r="C60" s="1408"/>
      <c r="D60" s="1408"/>
      <c r="E60" s="2324"/>
      <c r="F60" s="1408"/>
      <c r="G60" s="1408"/>
      <c r="H60" s="1408"/>
      <c r="I60" s="1408"/>
      <c r="J60" s="1408"/>
      <c r="K60" s="1408"/>
      <c r="L60" s="1411"/>
      <c r="M60" s="1386"/>
      <c r="N60" s="1386"/>
      <c r="O60" s="583"/>
      <c r="P60" s="445"/>
      <c r="Q60" s="1409"/>
      <c r="R60" s="445"/>
      <c r="S60" s="1387"/>
      <c r="T60" s="1390" t="s">
        <v>167</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423" customFormat="1" customHeight="1" ht="1.05">
      <c r="A61" s="1408" t="s">
        <v>219</v>
      </c>
      <c r="B61" s="1408"/>
      <c r="C61" s="1408"/>
      <c r="D61" s="1408"/>
      <c r="E61" s="2323"/>
      <c r="F61" s="1408"/>
      <c r="G61" s="1408"/>
      <c r="H61" s="1408"/>
      <c r="I61" s="1408"/>
      <c r="J61" s="1408"/>
      <c r="K61" s="1408"/>
      <c r="L61" s="1411"/>
      <c r="M61" s="1386"/>
      <c r="N61" s="1386"/>
      <c r="O61" s="583"/>
      <c r="P61" s="445"/>
      <c r="Q61" s="1409"/>
      <c r="R61" s="445"/>
      <c r="S61" s="1387"/>
      <c r="T61" s="1390" t="s">
        <v>167</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423"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168</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85</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72845-C6CF-622F-AD4C-1908E054DA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4.140625" hidden="1" customWidth="1"/>
    <col min="10" max="10" style="4903" width="9.8515625" hidden="1" customWidth="1"/>
    <col min="11" max="11" style="4903" width="14.71093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5.00390625" customWidth="1"/>
    <col min="21" max="21" style="4921" width="0.140625" customWidth="1"/>
    <col min="22" max="24" style="4921" width="24.7109375" hidden="1" customWidth="1"/>
    <col min="25" max="25" style="4921" width="11.7109375" hidden="1" customWidth="1"/>
    <col min="26" max="26" style="4921" width="3.7109375" hidden="1" customWidth="1"/>
    <col min="27" max="27" style="4921" width="11.7109375" hidden="1" customWidth="1"/>
    <col min="28" max="28" style="4921" width="8.57421875" hidden="1" customWidth="1"/>
    <col min="29" max="29" style="4921" width="24.7109375" customWidth="1"/>
    <col min="30" max="31" style="4921" width="24.00390625" customWidth="1"/>
    <col min="32" max="32" style="4921" width="11.00390625" customWidth="1"/>
    <col min="33" max="33" style="4921" width="3.7109375" customWidth="1"/>
    <col min="34" max="34" style="4921" width="11.00390625" customWidth="1"/>
    <col min="35" max="35" style="4921" width="8.57421875" hidden="1" customWidth="1"/>
    <col min="36" max="36" style="4921" width="4.00390625" customWidth="1"/>
    <col min="37" max="37" style="4921" width="115.00390625" customWidth="1"/>
    <col min="38" max="42" style="4423" width="10.00390625" customWidth="1"/>
    <col min="43" max="43" style="4921"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416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501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503</v>
      </c>
      <c r="U5" s="365"/>
      <c r="V5" s="2415"/>
      <c r="W5" s="2416"/>
      <c r="X5" s="2416"/>
      <c r="Y5" s="2416"/>
      <c r="Z5" s="2416"/>
      <c r="AA5" s="2416"/>
      <c r="AB5" s="2417"/>
      <c r="AC5" s="2418"/>
      <c r="AD5" s="2419"/>
      <c r="AE5" s="2419"/>
      <c r="AF5" s="2419"/>
      <c r="AG5" s="2419"/>
      <c r="AH5" s="2419"/>
      <c r="AI5" s="2419"/>
      <c r="AJ5" s="2420"/>
      <c r="AK5" s="1323" t="s">
        <v>504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425</v>
      </c>
      <c r="P6" s="2322"/>
      <c r="Q6" s="2322">
        <v>1</v>
      </c>
      <c r="R6" s="422"/>
      <c r="S6" s="1490">
        <f>$J6</f>
      </c>
      <c r="T6" s="351" t="s">
        <v>426</v>
      </c>
      <c r="U6" s="365"/>
      <c r="V6" s="2310"/>
      <c r="W6" s="2311"/>
      <c r="X6" s="2311"/>
      <c r="Y6" s="2311"/>
      <c r="Z6" s="2311"/>
      <c r="AA6" s="2311"/>
      <c r="AB6" s="2312"/>
      <c r="AC6" s="2310"/>
      <c r="AD6" s="2311"/>
      <c r="AE6" s="2311"/>
      <c r="AF6" s="2311"/>
      <c r="AG6" s="2311"/>
      <c r="AH6" s="2311"/>
      <c r="AI6" s="2311"/>
      <c r="AJ6" s="2312"/>
      <c r="AK6" s="1372" t="s">
        <v>505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506</v>
      </c>
      <c r="U9" s="432"/>
      <c r="V9" s="432"/>
      <c r="W9" s="432"/>
      <c r="X9" s="432"/>
      <c r="Y9" s="432"/>
      <c r="Z9" s="432"/>
      <c r="AA9" s="432"/>
      <c r="AB9" s="432"/>
      <c r="AC9" s="432"/>
      <c r="AD9" s="432"/>
      <c r="AE9" s="432"/>
      <c r="AF9" s="432"/>
      <c r="AG9" s="432"/>
      <c r="AH9" s="432"/>
      <c r="AI9" s="432"/>
      <c r="AJ9" s="432"/>
      <c r="AK9" s="1323" t="s">
        <v>507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431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508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3"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166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3"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903" customFormat="1" customHeight="1" ht="22.5" hidden="1">
      <c r="L18" s="1486"/>
      <c r="M18" s="1427"/>
      <c r="N18" s="1427"/>
      <c r="O18" s="1432" t="s">
        <v>433</v>
      </c>
      <c r="P18" s="1427"/>
      <c r="Q18" s="1436"/>
      <c r="R18" s="1436"/>
      <c r="S18" s="794"/>
      <c r="Y18" s="1432"/>
      <c r="AA18" s="1432"/>
      <c r="AB18" s="1431"/>
      <c r="AF18" s="1432"/>
      <c r="AH18" s="1432"/>
      <c r="AI18" s="1431"/>
      <c r="AL18" s="576"/>
      <c r="AM18" s="576"/>
      <c r="AN18" s="576"/>
      <c r="AO18" s="576"/>
      <c r="AP18" s="576"/>
      <c r="AQ18" s="1225">
        <v>0</v>
      </c>
    </row>
    <row s="4903" customFormat="1" customHeight="1" ht="14.25" hidden="1">
      <c r="L19" s="1486"/>
      <c r="M19" s="1427"/>
      <c r="N19" s="1427"/>
      <c r="O19" s="1427"/>
      <c r="P19" s="1427"/>
      <c r="Q19" s="1436"/>
      <c r="R19" s="1436"/>
      <c r="S19" s="794"/>
      <c r="AB19" s="1431"/>
      <c r="AI19" s="1431"/>
      <c r="AL19" s="576"/>
      <c r="AM19" s="576"/>
      <c r="AN19" s="576"/>
      <c r="AO19" s="576"/>
      <c r="AP19" s="576"/>
      <c r="AQ19" s="1225">
        <v>0</v>
      </c>
    </row>
    <row s="4903" customFormat="1" customHeight="1" ht="12" hidden="1">
      <c r="L20" s="1486"/>
      <c r="M20" s="1427"/>
      <c r="N20" s="1427"/>
      <c r="O20" s="1429" t="s">
        <v>434</v>
      </c>
      <c r="P20" s="1427"/>
      <c r="Q20" s="1507"/>
      <c r="R20" s="1507"/>
      <c r="S20" s="794"/>
      <c r="T20" s="1225" t="s">
        <v>435</v>
      </c>
      <c r="Z20" s="251" t="s">
        <v>436</v>
      </c>
      <c r="AB20" s="251" t="s">
        <v>437</v>
      </c>
      <c r="AC20" s="1225" t="s">
        <v>435</v>
      </c>
      <c r="AG20" s="251" t="s">
        <v>438</v>
      </c>
      <c r="AI20" s="251" t="s">
        <v>437</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5"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485" customFormat="1" customHeight="1" ht="18.75">
      <c r="A28" s="1433"/>
      <c r="B28" s="1433"/>
      <c r="C28" s="1433"/>
      <c r="D28" s="1433"/>
      <c r="E28" s="1433"/>
      <c r="F28" s="1433"/>
      <c r="G28" s="1433"/>
      <c r="H28" s="1433"/>
      <c r="I28" s="1433"/>
      <c r="J28" s="1433"/>
      <c r="K28" s="1433"/>
      <c r="L28" s="1434"/>
      <c r="M28" s="1433"/>
      <c r="N28" s="1433"/>
      <c r="O28" s="1433"/>
      <c r="S28" s="2315" t="s">
        <v>439</v>
      </c>
      <c r="T28" s="2315"/>
      <c r="U28" s="1437"/>
      <c r="V28" s="2329" t="str">
        <f>IF(TITLE_DATE_PR_CHANGE="",IF(TITLE_DATE_PR="","",TITLE_DATE_PR),TITLE_DATE_PR_CHANGE)</f>
        <v>45643.434652777774</v>
      </c>
      <c r="W28" s="2329"/>
      <c r="X28" s="2329"/>
      <c r="Y28" s="2329"/>
      <c r="Z28" s="2329"/>
      <c r="AA28" s="2329"/>
      <c r="AB28" s="391"/>
      <c r="AC28" s="2329" t="str">
        <f>IF(TITLE_DATE_PR_CHANGE="",IF(TITLE_DATE_PR="","",TITLE_DATE_PR),TITLE_DATE_PR_CHANGE)</f>
        <v>45643.434652777774</v>
      </c>
      <c r="AD28" s="2329"/>
      <c r="AE28" s="2329"/>
      <c r="AF28" s="2329"/>
      <c r="AG28" s="2329"/>
      <c r="AH28" s="2329"/>
      <c r="AI28" s="391"/>
      <c r="AJ28" s="391"/>
      <c r="AK28" s="345"/>
      <c r="AL28" s="433"/>
      <c r="AM28" s="433"/>
      <c r="AN28" s="433"/>
      <c r="AO28" s="433"/>
      <c r="AP28" s="433"/>
      <c r="AQ28" s="483">
        <v>0</v>
      </c>
    </row>
    <row s="5485" customFormat="1" customHeight="1" ht="18.75">
      <c r="A29" s="1433"/>
      <c r="B29" s="1433"/>
      <c r="C29" s="1433"/>
      <c r="D29" s="1433"/>
      <c r="E29" s="1433"/>
      <c r="F29" s="1433"/>
      <c r="G29" s="1433"/>
      <c r="H29" s="1433"/>
      <c r="I29" s="1433"/>
      <c r="J29" s="1433"/>
      <c r="K29" s="1433"/>
      <c r="L29" s="1434"/>
      <c r="M29" s="1433"/>
      <c r="N29" s="1433"/>
      <c r="O29" s="1433"/>
      <c r="S29" s="2315" t="s">
        <v>440</v>
      </c>
      <c r="T29" s="2315"/>
      <c r="U29" s="1437"/>
      <c r="V29" s="2316" t="str">
        <f>IF(TITLE_NUMBER_PR_CHANGE="",IF(TITLE_NUMBER_PR="","",TITLE_NUMBER_PR),TITLE_NUMBER_PR_CHANGE)</f>
        <v>71/2</v>
      </c>
      <c r="W29" s="2316"/>
      <c r="X29" s="2316"/>
      <c r="Y29" s="2316"/>
      <c r="Z29" s="2316"/>
      <c r="AA29" s="2316"/>
      <c r="AB29" s="391"/>
      <c r="AC29" s="2316" t="str">
        <f>IF(TITLE_NUMBER_PR_CHANGE="",IF(TITLE_NUMBER_PR="","",TITLE_NUMBER_PR),TITLE_NUMBER_PR_CHANGE)</f>
        <v>71/2</v>
      </c>
      <c r="AD29" s="2316"/>
      <c r="AE29" s="2316"/>
      <c r="AF29" s="2316"/>
      <c r="AG29" s="2316"/>
      <c r="AH29" s="2316"/>
      <c r="AI29" s="391"/>
      <c r="AJ29" s="391"/>
      <c r="AK29" s="345"/>
      <c r="AL29" s="433"/>
      <c r="AM29" s="433"/>
      <c r="AN29" s="433"/>
      <c r="AO29" s="433"/>
      <c r="AP29" s="433"/>
      <c r="AQ29" s="483">
        <v>0</v>
      </c>
    </row>
    <row s="5485"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Официальный интернет-портал правовой информации Ставропольского края</v>
      </c>
      <c r="W30" s="2316"/>
      <c r="X30" s="2316"/>
      <c r="Y30" s="2316"/>
      <c r="Z30" s="2316"/>
      <c r="AA30" s="2316"/>
      <c r="AB30" s="391"/>
      <c r="AC30" s="2316" t="str">
        <f>IF(TITLE_IST_PUB_CHANGE="",IF(TITLE_IST_PUB="","",TITLE_IST_PUB),TITLE_IST_PUB_CHANGE)</f>
        <v>Официальный интернет-портал правовой информации Ставропольского края</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5" customFormat="1" customHeight="1" ht="18.75" hidden="1">
      <c r="A32" s="1433"/>
      <c r="B32" s="1433"/>
      <c r="C32" s="1433"/>
      <c r="D32" s="1433"/>
      <c r="E32" s="1433"/>
      <c r="F32" s="1433"/>
      <c r="G32" s="1433"/>
      <c r="H32" s="1433"/>
      <c r="I32" s="1433"/>
      <c r="J32" s="1433"/>
      <c r="K32" s="1433"/>
      <c r="L32" s="1434"/>
      <c r="M32" s="1433"/>
      <c r="N32" s="1433"/>
      <c r="O32" s="1433"/>
      <c r="S32" s="2315" t="s">
        <v>441</v>
      </c>
      <c r="T32" s="2315"/>
      <c r="U32" s="1437"/>
      <c r="V32" s="2329" t="str">
        <f>IF(TITLE_DATE_PR_CHANGE="",IF(TITLE_DATE_PR="","",TITLE_DATE_PR),TITLE_DATE_PR_CHANGE)</f>
        <v>45643.434652777774</v>
      </c>
      <c r="W32" s="2329"/>
      <c r="X32" s="2329"/>
      <c r="Y32" s="2329"/>
      <c r="Z32" s="2329"/>
      <c r="AA32" s="2329"/>
      <c r="AB32" s="391"/>
      <c r="AC32" s="2329" t="str">
        <f>IF(TITLE_DATE_PR_CHANGE="",IF(TITLE_DATE_PR="","",TITLE_DATE_PR),TITLE_DATE_PR_CHANGE)</f>
        <v>45643.434652777774</v>
      </c>
      <c r="AD32" s="2329"/>
      <c r="AE32" s="2329"/>
      <c r="AF32" s="2329"/>
      <c r="AG32" s="2329"/>
      <c r="AH32" s="2329"/>
      <c r="AI32" s="391"/>
      <c r="AJ32" s="391"/>
      <c r="AK32" s="345"/>
      <c r="AL32" s="433"/>
      <c r="AM32" s="433"/>
      <c r="AN32" s="433"/>
      <c r="AO32" s="433"/>
      <c r="AP32" s="433"/>
      <c r="AQ32" s="483">
        <v>0</v>
      </c>
    </row>
    <row s="5485" customFormat="1" customHeight="1" ht="18.75" hidden="1">
      <c r="A33" s="1433"/>
      <c r="B33" s="1433"/>
      <c r="C33" s="1433"/>
      <c r="D33" s="1433"/>
      <c r="E33" s="1433"/>
      <c r="F33" s="1433"/>
      <c r="G33" s="1433"/>
      <c r="H33" s="1433"/>
      <c r="I33" s="1433"/>
      <c r="J33" s="1433"/>
      <c r="K33" s="1433"/>
      <c r="L33" s="1434"/>
      <c r="M33" s="1433"/>
      <c r="N33" s="1433"/>
      <c r="O33" s="1433"/>
      <c r="S33" s="2315" t="s">
        <v>442</v>
      </c>
      <c r="T33" s="2315"/>
      <c r="U33" s="1437"/>
      <c r="V33" s="2316" t="str">
        <f>IF(TITLE_NUMBER_PR_CHANGE="",IF(TITLE_NUMBER_PR="","",TITLE_NUMBER_PR),TITLE_NUMBER_PR_CHANGE)</f>
        <v>71/2</v>
      </c>
      <c r="W33" s="2316"/>
      <c r="X33" s="2316"/>
      <c r="Y33" s="2316"/>
      <c r="Z33" s="2316"/>
      <c r="AA33" s="2316"/>
      <c r="AB33" s="391"/>
      <c r="AC33" s="2316" t="str">
        <f>IF(TITLE_NUMBER_PR_CHANGE="",IF(TITLE_NUMBER_PR="","",TITLE_NUMBER_PR),TITLE_NUMBER_PR_CHANGE)</f>
        <v>71/2</v>
      </c>
      <c r="AD33" s="2316"/>
      <c r="AE33" s="2316"/>
      <c r="AF33" s="2316"/>
      <c r="AG33" s="2316"/>
      <c r="AH33" s="2316"/>
      <c r="AI33" s="391"/>
      <c r="AJ33" s="391"/>
      <c r="AK33" s="345"/>
      <c r="AL33" s="433"/>
      <c r="AM33" s="433"/>
      <c r="AN33" s="433"/>
      <c r="AO33" s="433"/>
      <c r="AP33" s="433"/>
      <c r="AQ33" s="483">
        <v>0</v>
      </c>
    </row>
    <row s="5485"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443</v>
      </c>
      <c r="AC34" s="391"/>
      <c r="AD34" s="391"/>
      <c r="AE34" s="391"/>
      <c r="AF34" s="391"/>
      <c r="AG34" s="391"/>
      <c r="AH34" s="391"/>
      <c r="AI34" s="343" t="s">
        <v>443</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319</v>
      </c>
      <c r="T36" s="2192"/>
      <c r="U36" s="2192"/>
      <c r="V36" s="2192"/>
      <c r="W36" s="2192"/>
      <c r="X36" s="2192"/>
      <c r="Y36" s="2192"/>
      <c r="Z36" s="2192"/>
      <c r="AA36" s="2192"/>
      <c r="AB36" s="2192"/>
      <c r="AC36" s="2192"/>
      <c r="AD36" s="2192"/>
      <c r="AE36" s="2192"/>
      <c r="AF36" s="2192"/>
      <c r="AG36" s="2192"/>
      <c r="AH36" s="2192"/>
      <c r="AI36" s="2192"/>
      <c r="AJ36" s="2192"/>
      <c r="AK36" s="2192" t="s">
        <v>320</v>
      </c>
      <c r="AQ36" s="1220">
        <v>14</v>
      </c>
    </row>
    <row customHeight="1" ht="14.699999999999998">
      <c r="Q37" s="441"/>
      <c r="R37" s="441"/>
      <c r="S37" s="2338" t="s">
        <v>91</v>
      </c>
      <c r="T37" s="2274" t="s">
        <v>444</v>
      </c>
      <c r="U37" s="366"/>
      <c r="V37" s="2339" t="s">
        <v>445</v>
      </c>
      <c r="W37" s="2340"/>
      <c r="X37" s="2340"/>
      <c r="Y37" s="2340"/>
      <c r="Z37" s="2340"/>
      <c r="AA37" s="2341"/>
      <c r="AB37" s="2342" t="s">
        <v>446</v>
      </c>
      <c r="AC37" s="2339" t="s">
        <v>445</v>
      </c>
      <c r="AD37" s="2340"/>
      <c r="AE37" s="2340"/>
      <c r="AF37" s="2340"/>
      <c r="AG37" s="2340"/>
      <c r="AH37" s="2341"/>
      <c r="AI37" s="2342" t="s">
        <v>447</v>
      </c>
      <c r="AJ37" s="2345" t="s">
        <v>448</v>
      </c>
      <c r="AK37" s="2192"/>
      <c r="AQ37" s="1220">
        <v>14</v>
      </c>
    </row>
    <row customHeight="1" ht="35.699999999999996">
      <c r="Q38" s="441"/>
      <c r="R38" s="441"/>
      <c r="S38" s="2338"/>
      <c r="T38" s="2274"/>
      <c r="U38" s="1096"/>
      <c r="V38" s="1417" t="s">
        <v>509</v>
      </c>
      <c r="W38" s="2327" t="s">
        <v>451</v>
      </c>
      <c r="X38" s="2328"/>
      <c r="Y38" s="2327" t="s">
        <v>452</v>
      </c>
      <c r="Z38" s="2334"/>
      <c r="AA38" s="2328"/>
      <c r="AB38" s="2343"/>
      <c r="AC38" s="1417" t="s">
        <v>509</v>
      </c>
      <c r="AD38" s="2327" t="s">
        <v>451</v>
      </c>
      <c r="AE38" s="2328"/>
      <c r="AF38" s="2327" t="s">
        <v>452</v>
      </c>
      <c r="AG38" s="2334"/>
      <c r="AH38" s="2328"/>
      <c r="AI38" s="2343"/>
      <c r="AJ38" s="2346"/>
      <c r="AK38" s="2192"/>
      <c r="AQ38" s="1220">
        <v>34</v>
      </c>
    </row>
    <row customHeight="1" ht="35.699999999999996">
      <c r="A39" s="1435"/>
      <c r="B39" s="1435" t="s">
        <v>138</v>
      </c>
      <c r="C39" s="1435" t="s">
        <v>139</v>
      </c>
      <c r="D39" s="1435" t="s">
        <v>140</v>
      </c>
      <c r="E39" s="1429" t="s">
        <v>453</v>
      </c>
      <c r="F39" s="1429" t="s">
        <v>454</v>
      </c>
      <c r="G39" s="1429" t="s">
        <v>455</v>
      </c>
      <c r="H39" s="1429"/>
      <c r="I39" s="1429" t="s">
        <v>510</v>
      </c>
      <c r="J39" s="1429" t="s">
        <v>458</v>
      </c>
      <c r="K39" s="1429" t="s">
        <v>511</v>
      </c>
      <c r="L39" s="1429" t="s">
        <v>434</v>
      </c>
      <c r="Q39" s="441"/>
      <c r="R39" s="441"/>
      <c r="S39" s="2338"/>
      <c r="T39" s="2274"/>
      <c r="U39" s="367"/>
      <c r="V39" s="1417" t="s">
        <v>512</v>
      </c>
      <c r="W39" s="1287" t="s">
        <v>513</v>
      </c>
      <c r="X39" s="1287" t="s">
        <v>514</v>
      </c>
      <c r="Y39" s="1422" t="s">
        <v>462</v>
      </c>
      <c r="Z39" s="2335" t="s">
        <v>463</v>
      </c>
      <c r="AA39" s="2336"/>
      <c r="AB39" s="2344"/>
      <c r="AC39" s="1417" t="s">
        <v>512</v>
      </c>
      <c r="AD39" s="1287" t="s">
        <v>513</v>
      </c>
      <c r="AE39" s="1287" t="s">
        <v>514</v>
      </c>
      <c r="AF39" s="1422" t="s">
        <v>462</v>
      </c>
      <c r="AG39" s="2335" t="s">
        <v>463</v>
      </c>
      <c r="AH39" s="2336"/>
      <c r="AI39" s="2344"/>
      <c r="AJ39" s="2347"/>
      <c r="AK39" s="2192"/>
      <c r="AQ39" s="1220">
        <v>34</v>
      </c>
    </row>
    <row s="4094"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112</v>
      </c>
      <c r="T40" s="1320" t="s">
        <v>113</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245</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245</v>
      </c>
      <c r="B42" s="1428" t="s">
        <v>246</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416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417</v>
      </c>
      <c r="AM42" s="565"/>
      <c r="AN42" s="565" t="str">
        <f>IF(T42="","",T42)</f>
        <v>Территория действия тарифа</v>
      </c>
      <c r="AO42" s="565"/>
      <c r="AP42" s="565"/>
      <c r="AQ42" s="1220">
        <v>23</v>
      </c>
    </row>
    <row customHeight="1" ht="24">
      <c r="A43" s="1428" t="s">
        <v>245</v>
      </c>
      <c r="B43" s="1428" t="s">
        <v>246</v>
      </c>
      <c r="C43" s="1428" t="s">
        <v>247</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501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502</v>
      </c>
      <c r="AM43" s="565"/>
      <c r="AN43" s="565" t="str">
        <f>IF(T43="","",T43)</f>
        <v>Наименование централизованной системы холодного водоснабжения</v>
      </c>
      <c r="AO43" s="565"/>
      <c r="AP43" s="565"/>
      <c r="AQ43" s="1220">
        <v>23</v>
      </c>
    </row>
    <row customHeight="1" ht="24">
      <c r="A44" s="1428" t="s">
        <v>245</v>
      </c>
      <c r="B44" s="1428" t="s">
        <v>246</v>
      </c>
      <c r="C44" s="1428" t="s">
        <v>247</v>
      </c>
      <c r="D44" s="1428" t="s">
        <v>515</v>
      </c>
      <c r="E44" s="2324"/>
      <c r="F44" s="2324"/>
      <c r="G44" s="2324"/>
      <c r="H44" s="2324"/>
      <c r="I44" s="2321" t="str">
        <f>S43&amp;".1"</f>
        <v>...1</v>
      </c>
      <c r="J44" s="1428"/>
      <c r="K44" s="1428"/>
      <c r="L44" s="1429"/>
      <c r="P44" s="2322">
        <v>1</v>
      </c>
      <c r="Q44" s="1419"/>
      <c r="R44" s="421"/>
      <c r="S44" s="1423" t="str">
        <f>$I44</f>
        <v>...1</v>
      </c>
      <c r="T44" s="350" t="s">
        <v>503</v>
      </c>
      <c r="U44" s="365"/>
      <c r="V44" s="2415"/>
      <c r="W44" s="2416"/>
      <c r="X44" s="2416"/>
      <c r="Y44" s="2416"/>
      <c r="Z44" s="2416"/>
      <c r="AA44" s="2416"/>
      <c r="AB44" s="2417"/>
      <c r="AC44" s="2418"/>
      <c r="AD44" s="2419"/>
      <c r="AE44" s="2419"/>
      <c r="AF44" s="2419"/>
      <c r="AG44" s="2419"/>
      <c r="AH44" s="2419"/>
      <c r="AI44" s="2419"/>
      <c r="AJ44" s="2420"/>
      <c r="AK44" s="1323" t="s">
        <v>504</v>
      </c>
      <c r="AM44" s="565"/>
      <c r="AN44" s="565" t="str">
        <f>IF(T44="","",T44)</f>
        <v>Наименование признака дифференциации</v>
      </c>
      <c r="AO44" s="565"/>
      <c r="AP44" s="565"/>
      <c r="AQ44" s="1220">
        <v>23</v>
      </c>
    </row>
    <row customHeight="1" ht="24">
      <c r="A45" s="1428" t="s">
        <v>245</v>
      </c>
      <c r="B45" s="1428" t="s">
        <v>246</v>
      </c>
      <c r="C45" s="1428" t="s">
        <v>247</v>
      </c>
      <c r="D45" s="1428" t="s">
        <v>515</v>
      </c>
      <c r="E45" s="2324"/>
      <c r="F45" s="2324"/>
      <c r="G45" s="2324"/>
      <c r="H45" s="2324"/>
      <c r="I45" s="2351"/>
      <c r="J45" s="2321" t="str">
        <f>I44&amp;".1"</f>
        <v>...1.1</v>
      </c>
      <c r="K45" s="1428"/>
      <c r="L45" s="1429" t="s">
        <v>425</v>
      </c>
      <c r="P45" s="2322"/>
      <c r="Q45" s="2322">
        <v>1</v>
      </c>
      <c r="R45" s="422"/>
      <c r="S45" s="1423" t="str">
        <f>$J45</f>
        <v>...1.1</v>
      </c>
      <c r="T45" s="351" t="s">
        <v>426</v>
      </c>
      <c r="U45" s="365"/>
      <c r="V45" s="2310"/>
      <c r="W45" s="2311"/>
      <c r="X45" s="2311"/>
      <c r="Y45" s="2311"/>
      <c r="Z45" s="2311"/>
      <c r="AA45" s="2311"/>
      <c r="AB45" s="2312"/>
      <c r="AC45" s="2310"/>
      <c r="AD45" s="2311"/>
      <c r="AE45" s="2311"/>
      <c r="AF45" s="2311"/>
      <c r="AG45" s="2311"/>
      <c r="AH45" s="2311"/>
      <c r="AI45" s="2311"/>
      <c r="AJ45" s="2312"/>
      <c r="AK45" s="1372" t="s">
        <v>505</v>
      </c>
      <c r="AM45" s="565"/>
      <c r="AN45" s="565" t="str">
        <f>IF(T45="","",T45)</f>
        <v>Группа потребителей</v>
      </c>
      <c r="AO45" s="565"/>
      <c r="AP45" s="565"/>
      <c r="AQ45" s="1220">
        <v>23</v>
      </c>
    </row>
    <row customHeight="1" ht="24">
      <c r="A46" s="1428" t="s">
        <v>245</v>
      </c>
      <c r="B46" s="1428" t="s">
        <v>246</v>
      </c>
      <c r="C46" s="1428" t="s">
        <v>247</v>
      </c>
      <c r="D46" s="1428" t="s">
        <v>515</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64</v>
      </c>
      <c r="AA46" s="2332"/>
      <c r="AB46" s="2333" t="s">
        <v>64</v>
      </c>
      <c r="AC46" s="816"/>
      <c r="AD46" s="816"/>
      <c r="AE46" s="1322"/>
      <c r="AF46" s="2330"/>
      <c r="AG46" s="2172" t="s">
        <v>64</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245</v>
      </c>
      <c r="B47" s="1428" t="s">
        <v>246</v>
      </c>
      <c r="C47" s="1428" t="s">
        <v>247</v>
      </c>
      <c r="D47" s="1428" t="s">
        <v>515</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245</v>
      </c>
      <c r="B48" s="1428" t="s">
        <v>246</v>
      </c>
      <c r="C48" s="1428" t="s">
        <v>247</v>
      </c>
      <c r="D48" s="1428" t="s">
        <v>515</v>
      </c>
      <c r="E48" s="2324"/>
      <c r="F48" s="2324"/>
      <c r="G48" s="2324"/>
      <c r="H48" s="2324"/>
      <c r="I48" s="2351"/>
      <c r="J48" s="2321"/>
      <c r="K48" s="1428"/>
      <c r="L48" s="1429"/>
      <c r="P48" s="2322"/>
      <c r="Q48" s="2322"/>
      <c r="R48" s="421"/>
      <c r="S48" s="1343"/>
      <c r="T48" s="352" t="s">
        <v>506</v>
      </c>
      <c r="U48" s="432"/>
      <c r="V48" s="432"/>
      <c r="W48" s="432"/>
      <c r="X48" s="432"/>
      <c r="Y48" s="432"/>
      <c r="Z48" s="432"/>
      <c r="AA48" s="432"/>
      <c r="AB48" s="432"/>
      <c r="AC48" s="432"/>
      <c r="AD48" s="432"/>
      <c r="AE48" s="432"/>
      <c r="AF48" s="432"/>
      <c r="AG48" s="432"/>
      <c r="AH48" s="432"/>
      <c r="AI48" s="432"/>
      <c r="AJ48" s="432"/>
      <c r="AK48" s="1323" t="s">
        <v>507</v>
      </c>
      <c r="AM48" s="565"/>
      <c r="AN48" s="565" t="str">
        <f>IF(T48="","",T48)</f>
        <v>Добавить значение признака дифференциации</v>
      </c>
      <c r="AO48" s="565"/>
      <c r="AP48" s="565"/>
      <c r="AQ48" s="1220">
        <v>20</v>
      </c>
    </row>
    <row customHeight="1" ht="22.049999999999997">
      <c r="A49" s="1428" t="s">
        <v>245</v>
      </c>
      <c r="B49" s="1428" t="s">
        <v>246</v>
      </c>
      <c r="C49" s="1428" t="s">
        <v>247</v>
      </c>
      <c r="D49" s="1428" t="s">
        <v>515</v>
      </c>
      <c r="E49" s="2324"/>
      <c r="F49" s="2324"/>
      <c r="G49" s="2324"/>
      <c r="H49" s="2324"/>
      <c r="I49" s="2321"/>
      <c r="J49" s="1428"/>
      <c r="K49" s="1428"/>
      <c r="L49" s="1429"/>
      <c r="P49" s="2322"/>
      <c r="Q49" s="1419"/>
      <c r="R49" s="421"/>
      <c r="S49" s="1343"/>
      <c r="T49" s="430" t="s">
        <v>431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245</v>
      </c>
      <c r="B50" s="1428" t="s">
        <v>246</v>
      </c>
      <c r="C50" s="1428" t="s">
        <v>247</v>
      </c>
      <c r="D50" s="1428" t="s">
        <v>515</v>
      </c>
      <c r="E50" s="2324"/>
      <c r="F50" s="2324"/>
      <c r="G50" s="2324"/>
      <c r="H50" s="2323"/>
      <c r="I50" s="1428"/>
      <c r="J50" s="1428"/>
      <c r="K50" s="1428"/>
      <c r="L50" s="1429"/>
      <c r="M50" s="1430"/>
      <c r="N50" s="1430"/>
      <c r="O50" s="602"/>
      <c r="P50" s="425"/>
      <c r="Q50" s="440"/>
      <c r="R50" s="420"/>
      <c r="S50" s="1343"/>
      <c r="T50" s="437" t="s">
        <v>508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3" customFormat="1" customHeight="1" ht="0">
      <c r="A51" s="1408" t="s">
        <v>245</v>
      </c>
      <c r="B51" s="1408" t="s">
        <v>246</v>
      </c>
      <c r="C51" s="1379"/>
      <c r="D51" s="1379"/>
      <c r="E51" s="2324"/>
      <c r="F51" s="2323"/>
      <c r="G51" s="1379"/>
      <c r="H51" s="1379"/>
      <c r="I51" s="1379"/>
      <c r="J51" s="1379"/>
      <c r="K51" s="1379"/>
      <c r="L51" s="1491"/>
      <c r="M51" s="1386"/>
      <c r="N51" s="1386"/>
      <c r="P51" s="1381"/>
      <c r="Q51" s="1382"/>
      <c r="R51" s="1381"/>
      <c r="S51" s="1387"/>
      <c r="T51" s="1390" t="s">
        <v>166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3" customFormat="1" customHeight="1" ht="0">
      <c r="A52" s="1408" t="s">
        <v>245</v>
      </c>
      <c r="B52" s="1408"/>
      <c r="C52" s="1408"/>
      <c r="D52" s="1408"/>
      <c r="E52" s="2323"/>
      <c r="F52" s="1408"/>
      <c r="G52" s="1408"/>
      <c r="H52" s="1408"/>
      <c r="I52" s="1408"/>
      <c r="J52" s="1408"/>
      <c r="K52" s="1408"/>
      <c r="L52" s="1411"/>
      <c r="M52" s="1386"/>
      <c r="N52" s="1386"/>
      <c r="O52" s="583"/>
      <c r="P52" s="445"/>
      <c r="Q52" s="1409"/>
      <c r="R52" s="445"/>
      <c r="S52" s="1387"/>
      <c r="T52" s="1390" t="s">
        <v>167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3"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168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6CD2F-3D56-7B24-6BBE-83DB6446C4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4.140625" hidden="1" customWidth="1"/>
    <col min="10" max="10" style="4903" width="9.8515625" hidden="1" customWidth="1"/>
    <col min="11" max="11" style="4903" width="14.71093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5.00390625" customWidth="1"/>
    <col min="21" max="21" style="4921" width="0.140625" customWidth="1"/>
    <col min="22" max="24" style="4921" width="24.7109375" hidden="1" customWidth="1"/>
    <col min="25" max="25" style="4921" width="11.7109375" hidden="1" customWidth="1"/>
    <col min="26" max="26" style="4921" width="3.7109375" hidden="1" customWidth="1"/>
    <col min="27" max="27" style="4921" width="11.7109375" hidden="1" customWidth="1"/>
    <col min="28" max="28" style="4921" width="8.57421875" hidden="1" customWidth="1"/>
    <col min="29" max="29" style="4921" width="24.7109375" customWidth="1"/>
    <col min="30" max="31" style="4921" width="24.00390625" customWidth="1"/>
    <col min="32" max="32" style="4921" width="11.00390625" customWidth="1"/>
    <col min="33" max="33" style="4921" width="3.7109375" customWidth="1"/>
    <col min="34" max="34" style="4921" width="11.00390625" customWidth="1"/>
    <col min="35" max="35" style="4921" width="8.57421875" hidden="1" customWidth="1"/>
    <col min="36" max="36" style="4921" width="4.00390625" customWidth="1"/>
    <col min="37" max="37" style="4921" width="115.00390625" customWidth="1"/>
    <col min="38" max="42" style="4423" width="10.00390625" customWidth="1"/>
    <col min="43" max="43" style="4921"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501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503</v>
      </c>
      <c r="U5" s="365"/>
      <c r="V5" s="2415"/>
      <c r="W5" s="2416"/>
      <c r="X5" s="2416"/>
      <c r="Y5" s="2416"/>
      <c r="Z5" s="2416"/>
      <c r="AA5" s="2416"/>
      <c r="AB5" s="2417"/>
      <c r="AC5" s="2418"/>
      <c r="AD5" s="2419"/>
      <c r="AE5" s="2419"/>
      <c r="AF5" s="2419"/>
      <c r="AG5" s="2419"/>
      <c r="AH5" s="2419"/>
      <c r="AI5" s="2419"/>
      <c r="AJ5" s="2420"/>
      <c r="AK5" s="1323" t="s">
        <v>504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425</v>
      </c>
      <c r="P6" s="2322"/>
      <c r="Q6" s="2322">
        <v>1</v>
      </c>
      <c r="R6" s="422"/>
      <c r="S6" s="1522">
        <f>$J6</f>
      </c>
      <c r="T6" s="351" t="s">
        <v>426</v>
      </c>
      <c r="U6" s="365"/>
      <c r="V6" s="2310"/>
      <c r="W6" s="2311"/>
      <c r="X6" s="2311"/>
      <c r="Y6" s="2311"/>
      <c r="Z6" s="2311"/>
      <c r="AA6" s="2311"/>
      <c r="AB6" s="2312"/>
      <c r="AC6" s="2310"/>
      <c r="AD6" s="2311"/>
      <c r="AE6" s="2311"/>
      <c r="AF6" s="2311"/>
      <c r="AG6" s="2311"/>
      <c r="AH6" s="2311"/>
      <c r="AI6" s="2311"/>
      <c r="AJ6" s="2312"/>
      <c r="AK6" s="1372" t="s">
        <v>505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506</v>
      </c>
      <c r="U9" s="432"/>
      <c r="V9" s="432"/>
      <c r="W9" s="432"/>
      <c r="X9" s="432"/>
      <c r="Y9" s="432"/>
      <c r="Z9" s="432"/>
      <c r="AA9" s="432"/>
      <c r="AB9" s="432"/>
      <c r="AC9" s="432"/>
      <c r="AD9" s="432"/>
      <c r="AE9" s="432"/>
      <c r="AF9" s="432"/>
      <c r="AG9" s="432"/>
      <c r="AH9" s="432"/>
      <c r="AI9" s="432"/>
      <c r="AJ9" s="432"/>
      <c r="AK9" s="1323" t="s">
        <v>507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431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3"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166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3"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903" customFormat="1" customHeight="1" ht="22.5" hidden="1">
      <c r="L18" s="1512"/>
      <c r="M18" s="1427"/>
      <c r="N18" s="1427"/>
      <c r="O18" s="1432" t="s">
        <v>433</v>
      </c>
      <c r="P18" s="1427"/>
      <c r="Q18" s="1436"/>
      <c r="R18" s="1436"/>
      <c r="S18" s="794"/>
      <c r="Y18" s="1432"/>
      <c r="AA18" s="1432"/>
      <c r="AB18" s="1431"/>
      <c r="AF18" s="1432"/>
      <c r="AH18" s="1432"/>
      <c r="AI18" s="1431"/>
      <c r="AL18" s="576"/>
      <c r="AM18" s="576"/>
      <c r="AN18" s="576"/>
      <c r="AO18" s="576"/>
      <c r="AP18" s="576"/>
      <c r="AQ18" s="1225">
        <v>0</v>
      </c>
    </row>
    <row s="4903" customFormat="1" customHeight="1" ht="14.25" hidden="1">
      <c r="L19" s="1512"/>
      <c r="M19" s="1427"/>
      <c r="N19" s="1427"/>
      <c r="O19" s="1427"/>
      <c r="P19" s="1427"/>
      <c r="Q19" s="1436"/>
      <c r="R19" s="1436"/>
      <c r="S19" s="794"/>
      <c r="AB19" s="1431"/>
      <c r="AI19" s="1431"/>
      <c r="AL19" s="576"/>
      <c r="AM19" s="576"/>
      <c r="AN19" s="576"/>
      <c r="AO19" s="576"/>
      <c r="AP19" s="576"/>
      <c r="AQ19" s="1225">
        <v>0</v>
      </c>
    </row>
    <row s="4903" customFormat="1" customHeight="1" ht="12" hidden="1">
      <c r="L20" s="1512"/>
      <c r="M20" s="1427"/>
      <c r="N20" s="1427"/>
      <c r="O20" s="1429" t="s">
        <v>434</v>
      </c>
      <c r="P20" s="1427"/>
      <c r="Q20" s="1507"/>
      <c r="R20" s="1507"/>
      <c r="S20" s="794"/>
      <c r="T20" s="1225" t="s">
        <v>435</v>
      </c>
      <c r="Z20" s="251" t="s">
        <v>436</v>
      </c>
      <c r="AB20" s="251" t="s">
        <v>437</v>
      </c>
      <c r="AC20" s="1225" t="s">
        <v>435</v>
      </c>
      <c r="AG20" s="251" t="s">
        <v>438</v>
      </c>
      <c r="AI20" s="251" t="s">
        <v>437</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5"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485" customFormat="1" customHeight="1" ht="18.75">
      <c r="A28" s="1433"/>
      <c r="B28" s="1433"/>
      <c r="C28" s="1433"/>
      <c r="D28" s="1433"/>
      <c r="E28" s="1433"/>
      <c r="F28" s="1433"/>
      <c r="G28" s="1433"/>
      <c r="H28" s="1433"/>
      <c r="I28" s="1433"/>
      <c r="J28" s="1433"/>
      <c r="K28" s="1433"/>
      <c r="L28" s="1434"/>
      <c r="M28" s="1433"/>
      <c r="N28" s="1433"/>
      <c r="O28" s="1433"/>
      <c r="S28" s="2315" t="s">
        <v>439</v>
      </c>
      <c r="T28" s="2315"/>
      <c r="U28" s="1437"/>
      <c r="V28" s="2329" t="str">
        <f>IF(TITLE_DATE_PR_CHANGE="",IF(TITLE_DATE_PR="","",TITLE_DATE_PR),TITLE_DATE_PR_CHANGE)</f>
        <v>45643.434652777774</v>
      </c>
      <c r="W28" s="2329"/>
      <c r="X28" s="2329"/>
      <c r="Y28" s="2329"/>
      <c r="Z28" s="2329"/>
      <c r="AA28" s="2329"/>
      <c r="AB28" s="391"/>
      <c r="AC28" s="2329" t="str">
        <f>IF(TITLE_DATE_PR_CHANGE="",IF(TITLE_DATE_PR="","",TITLE_DATE_PR),TITLE_DATE_PR_CHANGE)</f>
        <v>45643.434652777774</v>
      </c>
      <c r="AD28" s="2329"/>
      <c r="AE28" s="2329"/>
      <c r="AF28" s="2329"/>
      <c r="AG28" s="2329"/>
      <c r="AH28" s="2329"/>
      <c r="AI28" s="391"/>
      <c r="AJ28" s="391"/>
      <c r="AK28" s="345"/>
      <c r="AL28" s="433"/>
      <c r="AM28" s="433"/>
      <c r="AN28" s="433"/>
      <c r="AO28" s="433"/>
      <c r="AP28" s="433"/>
      <c r="AQ28" s="483">
        <v>0</v>
      </c>
    </row>
    <row s="5485" customFormat="1" customHeight="1" ht="18.75">
      <c r="A29" s="1433"/>
      <c r="B29" s="1433"/>
      <c r="C29" s="1433"/>
      <c r="D29" s="1433"/>
      <c r="E29" s="1433"/>
      <c r="F29" s="1433"/>
      <c r="G29" s="1433"/>
      <c r="H29" s="1433"/>
      <c r="I29" s="1433"/>
      <c r="J29" s="1433"/>
      <c r="K29" s="1433"/>
      <c r="L29" s="1434"/>
      <c r="M29" s="1433"/>
      <c r="N29" s="1433"/>
      <c r="O29" s="1433"/>
      <c r="S29" s="2315" t="s">
        <v>440</v>
      </c>
      <c r="T29" s="2315"/>
      <c r="U29" s="1437"/>
      <c r="V29" s="2316" t="str">
        <f>IF(TITLE_NUMBER_PR_CHANGE="",IF(TITLE_NUMBER_PR="","",TITLE_NUMBER_PR),TITLE_NUMBER_PR_CHANGE)</f>
        <v>71/2</v>
      </c>
      <c r="W29" s="2316"/>
      <c r="X29" s="2316"/>
      <c r="Y29" s="2316"/>
      <c r="Z29" s="2316"/>
      <c r="AA29" s="2316"/>
      <c r="AB29" s="391"/>
      <c r="AC29" s="2316" t="str">
        <f>IF(TITLE_NUMBER_PR_CHANGE="",IF(TITLE_NUMBER_PR="","",TITLE_NUMBER_PR),TITLE_NUMBER_PR_CHANGE)</f>
        <v>71/2</v>
      </c>
      <c r="AD29" s="2316"/>
      <c r="AE29" s="2316"/>
      <c r="AF29" s="2316"/>
      <c r="AG29" s="2316"/>
      <c r="AH29" s="2316"/>
      <c r="AI29" s="391"/>
      <c r="AJ29" s="391"/>
      <c r="AK29" s="345"/>
      <c r="AL29" s="433"/>
      <c r="AM29" s="433"/>
      <c r="AN29" s="433"/>
      <c r="AO29" s="433"/>
      <c r="AP29" s="433"/>
      <c r="AQ29" s="483">
        <v>0</v>
      </c>
    </row>
    <row s="5485"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Официальный интернет-портал правовой информации Ставропольского края</v>
      </c>
      <c r="W30" s="2316"/>
      <c r="X30" s="2316"/>
      <c r="Y30" s="2316"/>
      <c r="Z30" s="2316"/>
      <c r="AA30" s="2316"/>
      <c r="AB30" s="391"/>
      <c r="AC30" s="2316" t="str">
        <f>IF(TITLE_IST_PUB_CHANGE="",IF(TITLE_IST_PUB="","",TITLE_IST_PUB),TITLE_IST_PUB_CHANGE)</f>
        <v>Официальный интернет-портал правовой информации Ставропольского края</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5" customFormat="1" customHeight="1" ht="18.75" hidden="1">
      <c r="A32" s="1433"/>
      <c r="B32" s="1433"/>
      <c r="C32" s="1433"/>
      <c r="D32" s="1433"/>
      <c r="E32" s="1433"/>
      <c r="F32" s="1433"/>
      <c r="G32" s="1433"/>
      <c r="H32" s="1433"/>
      <c r="I32" s="1433"/>
      <c r="J32" s="1433"/>
      <c r="K32" s="1433"/>
      <c r="L32" s="1434"/>
      <c r="M32" s="1433"/>
      <c r="N32" s="1433"/>
      <c r="O32" s="1433"/>
      <c r="S32" s="2315" t="s">
        <v>441</v>
      </c>
      <c r="T32" s="2315"/>
      <c r="U32" s="1437"/>
      <c r="V32" s="2329" t="str">
        <f>IF(TITLE_DATE_PR_CHANGE="",IF(TITLE_DATE_PR="","",TITLE_DATE_PR),TITLE_DATE_PR_CHANGE)</f>
        <v>45643.434652777774</v>
      </c>
      <c r="W32" s="2329"/>
      <c r="X32" s="2329"/>
      <c r="Y32" s="2329"/>
      <c r="Z32" s="2329"/>
      <c r="AA32" s="2329"/>
      <c r="AB32" s="391"/>
      <c r="AC32" s="2329" t="str">
        <f>IF(TITLE_DATE_PR_CHANGE="",IF(TITLE_DATE_PR="","",TITLE_DATE_PR),TITLE_DATE_PR_CHANGE)</f>
        <v>45643.434652777774</v>
      </c>
      <c r="AD32" s="2329"/>
      <c r="AE32" s="2329"/>
      <c r="AF32" s="2329"/>
      <c r="AG32" s="2329"/>
      <c r="AH32" s="2329"/>
      <c r="AI32" s="391"/>
      <c r="AJ32" s="391"/>
      <c r="AK32" s="345"/>
      <c r="AL32" s="433"/>
      <c r="AM32" s="433"/>
      <c r="AN32" s="433"/>
      <c r="AO32" s="433"/>
      <c r="AP32" s="433"/>
      <c r="AQ32" s="483">
        <v>0</v>
      </c>
    </row>
    <row s="5485" customFormat="1" customHeight="1" ht="18.75" hidden="1">
      <c r="A33" s="1433"/>
      <c r="B33" s="1433"/>
      <c r="C33" s="1433"/>
      <c r="D33" s="1433"/>
      <c r="E33" s="1433"/>
      <c r="F33" s="1433"/>
      <c r="G33" s="1433"/>
      <c r="H33" s="1433"/>
      <c r="I33" s="1433"/>
      <c r="J33" s="1433"/>
      <c r="K33" s="1433"/>
      <c r="L33" s="1434"/>
      <c r="M33" s="1433"/>
      <c r="N33" s="1433"/>
      <c r="O33" s="1433"/>
      <c r="S33" s="2315" t="s">
        <v>442</v>
      </c>
      <c r="T33" s="2315"/>
      <c r="U33" s="1437"/>
      <c r="V33" s="2316" t="str">
        <f>IF(TITLE_NUMBER_PR_CHANGE="",IF(TITLE_NUMBER_PR="","",TITLE_NUMBER_PR),TITLE_NUMBER_PR_CHANGE)</f>
        <v>71/2</v>
      </c>
      <c r="W33" s="2316"/>
      <c r="X33" s="2316"/>
      <c r="Y33" s="2316"/>
      <c r="Z33" s="2316"/>
      <c r="AA33" s="2316"/>
      <c r="AB33" s="391"/>
      <c r="AC33" s="2316" t="str">
        <f>IF(TITLE_NUMBER_PR_CHANGE="",IF(TITLE_NUMBER_PR="","",TITLE_NUMBER_PR),TITLE_NUMBER_PR_CHANGE)</f>
        <v>71/2</v>
      </c>
      <c r="AD33" s="2316"/>
      <c r="AE33" s="2316"/>
      <c r="AF33" s="2316"/>
      <c r="AG33" s="2316"/>
      <c r="AH33" s="2316"/>
      <c r="AI33" s="391"/>
      <c r="AJ33" s="391"/>
      <c r="AK33" s="345"/>
      <c r="AL33" s="433"/>
      <c r="AM33" s="433"/>
      <c r="AN33" s="433"/>
      <c r="AO33" s="433"/>
      <c r="AP33" s="433"/>
      <c r="AQ33" s="483">
        <v>0</v>
      </c>
    </row>
    <row s="5485"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443</v>
      </c>
      <c r="AC34" s="391"/>
      <c r="AD34" s="391"/>
      <c r="AE34" s="391"/>
      <c r="AF34" s="391"/>
      <c r="AG34" s="391"/>
      <c r="AH34" s="391"/>
      <c r="AI34" s="343" t="s">
        <v>443</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319</v>
      </c>
      <c r="T36" s="2192"/>
      <c r="U36" s="2192"/>
      <c r="V36" s="2192"/>
      <c r="W36" s="2192"/>
      <c r="X36" s="2192"/>
      <c r="Y36" s="2192"/>
      <c r="Z36" s="2192"/>
      <c r="AA36" s="2192"/>
      <c r="AB36" s="2192"/>
      <c r="AC36" s="2192"/>
      <c r="AD36" s="2192"/>
      <c r="AE36" s="2192"/>
      <c r="AF36" s="2192"/>
      <c r="AG36" s="2192"/>
      <c r="AH36" s="2192"/>
      <c r="AI36" s="2192"/>
      <c r="AJ36" s="2192"/>
      <c r="AK36" s="2192" t="s">
        <v>320</v>
      </c>
      <c r="AQ36" s="1220">
        <v>14</v>
      </c>
    </row>
    <row customHeight="1" ht="14.699999999999998">
      <c r="Q37" s="441"/>
      <c r="R37" s="441"/>
      <c r="S37" s="2338" t="s">
        <v>91</v>
      </c>
      <c r="T37" s="2274" t="s">
        <v>444</v>
      </c>
      <c r="U37" s="366"/>
      <c r="V37" s="2339" t="s">
        <v>445</v>
      </c>
      <c r="W37" s="2340"/>
      <c r="X37" s="2340"/>
      <c r="Y37" s="2340"/>
      <c r="Z37" s="2340"/>
      <c r="AA37" s="2341"/>
      <c r="AB37" s="2342" t="s">
        <v>446</v>
      </c>
      <c r="AC37" s="2339" t="s">
        <v>445</v>
      </c>
      <c r="AD37" s="2340"/>
      <c r="AE37" s="2340"/>
      <c r="AF37" s="2340"/>
      <c r="AG37" s="2340"/>
      <c r="AH37" s="2341"/>
      <c r="AI37" s="2342" t="s">
        <v>447</v>
      </c>
      <c r="AJ37" s="2345" t="s">
        <v>448</v>
      </c>
      <c r="AK37" s="2192"/>
      <c r="AQ37" s="1220">
        <v>14</v>
      </c>
    </row>
    <row customHeight="1" ht="35.699999999999996">
      <c r="Q38" s="441"/>
      <c r="R38" s="441"/>
      <c r="S38" s="2338"/>
      <c r="T38" s="2274"/>
      <c r="U38" s="1096"/>
      <c r="V38" s="1517" t="s">
        <v>509</v>
      </c>
      <c r="W38" s="2327" t="s">
        <v>451</v>
      </c>
      <c r="X38" s="2328"/>
      <c r="Y38" s="2327" t="s">
        <v>452</v>
      </c>
      <c r="Z38" s="2334"/>
      <c r="AA38" s="2328"/>
      <c r="AB38" s="2343"/>
      <c r="AC38" s="1517" t="s">
        <v>509</v>
      </c>
      <c r="AD38" s="2327" t="s">
        <v>451</v>
      </c>
      <c r="AE38" s="2328"/>
      <c r="AF38" s="2327" t="s">
        <v>452</v>
      </c>
      <c r="AG38" s="2334"/>
      <c r="AH38" s="2328"/>
      <c r="AI38" s="2343"/>
      <c r="AJ38" s="2346"/>
      <c r="AK38" s="2192"/>
      <c r="AQ38" s="1220">
        <v>34</v>
      </c>
    </row>
    <row customHeight="1" ht="35.699999999999996">
      <c r="A39" s="1435"/>
      <c r="B39" s="1435" t="s">
        <v>138</v>
      </c>
      <c r="C39" s="1435" t="s">
        <v>139</v>
      </c>
      <c r="D39" s="1435" t="s">
        <v>140</v>
      </c>
      <c r="E39" s="1429" t="s">
        <v>453</v>
      </c>
      <c r="F39" s="1429" t="s">
        <v>454</v>
      </c>
      <c r="G39" s="1429" t="s">
        <v>455</v>
      </c>
      <c r="H39" s="1429"/>
      <c r="I39" s="1429" t="s">
        <v>510</v>
      </c>
      <c r="J39" s="1429" t="s">
        <v>458</v>
      </c>
      <c r="K39" s="1429" t="s">
        <v>511</v>
      </c>
      <c r="L39" s="1429" t="s">
        <v>434</v>
      </c>
      <c r="Q39" s="441"/>
      <c r="R39" s="441"/>
      <c r="S39" s="2338"/>
      <c r="T39" s="2274"/>
      <c r="U39" s="367"/>
      <c r="V39" s="1517" t="s">
        <v>512</v>
      </c>
      <c r="W39" s="1287" t="s">
        <v>513</v>
      </c>
      <c r="X39" s="1287" t="s">
        <v>514</v>
      </c>
      <c r="Y39" s="1520" t="s">
        <v>462</v>
      </c>
      <c r="Z39" s="2335" t="s">
        <v>463</v>
      </c>
      <c r="AA39" s="2336"/>
      <c r="AB39" s="2344"/>
      <c r="AC39" s="1517" t="s">
        <v>512</v>
      </c>
      <c r="AD39" s="1287" t="s">
        <v>513</v>
      </c>
      <c r="AE39" s="1287" t="s">
        <v>514</v>
      </c>
      <c r="AF39" s="1520" t="s">
        <v>462</v>
      </c>
      <c r="AG39" s="2335" t="s">
        <v>463</v>
      </c>
      <c r="AH39" s="2336"/>
      <c r="AI39" s="2344"/>
      <c r="AJ39" s="2347"/>
      <c r="AK39" s="2192"/>
      <c r="AQ39" s="1220">
        <v>34</v>
      </c>
    </row>
    <row s="4094"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112</v>
      </c>
      <c r="T40" s="1320" t="s">
        <v>113</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250</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250</v>
      </c>
      <c r="B42" s="1428" t="s">
        <v>251</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417</v>
      </c>
      <c r="AM42" s="565"/>
      <c r="AN42" s="565" t="str">
        <f>IF(T42="","",T42)</f>
        <v>Территория действия тарифа</v>
      </c>
      <c r="AO42" s="565"/>
      <c r="AP42" s="565"/>
      <c r="AQ42" s="1220">
        <v>23</v>
      </c>
    </row>
    <row customHeight="1" ht="24">
      <c r="A43" s="1428" t="s">
        <v>250</v>
      </c>
      <c r="B43" s="1428" t="s">
        <v>251</v>
      </c>
      <c r="C43" s="1428" t="s">
        <v>252</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501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502</v>
      </c>
      <c r="AM43" s="565"/>
      <c r="AN43" s="565" t="str">
        <f>IF(T43="","",T43)</f>
        <v>Наименование централизованной системы холодного водоснабжения</v>
      </c>
      <c r="AO43" s="565"/>
      <c r="AP43" s="565"/>
      <c r="AQ43" s="1220">
        <v>23</v>
      </c>
    </row>
    <row customHeight="1" ht="24">
      <c r="A44" s="1428" t="s">
        <v>250</v>
      </c>
      <c r="B44" s="1428" t="s">
        <v>251</v>
      </c>
      <c r="C44" s="1428" t="s">
        <v>252</v>
      </c>
      <c r="D44" s="1428" t="s">
        <v>516</v>
      </c>
      <c r="E44" s="2324"/>
      <c r="F44" s="2324"/>
      <c r="G44" s="2324"/>
      <c r="H44" s="2324"/>
      <c r="I44" s="2321" t="str">
        <f>S43&amp;".1"</f>
        <v>...1</v>
      </c>
      <c r="J44" s="1428"/>
      <c r="K44" s="1428"/>
      <c r="L44" s="1429"/>
      <c r="P44" s="2322">
        <v>1</v>
      </c>
      <c r="Q44" s="1515"/>
      <c r="R44" s="421"/>
      <c r="S44" s="1522" t="str">
        <f>$I44</f>
        <v>...1</v>
      </c>
      <c r="T44" s="350" t="s">
        <v>503</v>
      </c>
      <c r="U44" s="365"/>
      <c r="V44" s="2415"/>
      <c r="W44" s="2416"/>
      <c r="X44" s="2416"/>
      <c r="Y44" s="2416"/>
      <c r="Z44" s="2416"/>
      <c r="AA44" s="2416"/>
      <c r="AB44" s="2417"/>
      <c r="AC44" s="2418"/>
      <c r="AD44" s="2419"/>
      <c r="AE44" s="2419"/>
      <c r="AF44" s="2419"/>
      <c r="AG44" s="2419"/>
      <c r="AH44" s="2419"/>
      <c r="AI44" s="2419"/>
      <c r="AJ44" s="2420"/>
      <c r="AK44" s="1323" t="s">
        <v>504</v>
      </c>
      <c r="AM44" s="565"/>
      <c r="AN44" s="565" t="str">
        <f>IF(T44="","",T44)</f>
        <v>Наименование признака дифференциации</v>
      </c>
      <c r="AO44" s="565"/>
      <c r="AP44" s="565"/>
      <c r="AQ44" s="1220">
        <v>23</v>
      </c>
    </row>
    <row customHeight="1" ht="24">
      <c r="A45" s="1428" t="s">
        <v>250</v>
      </c>
      <c r="B45" s="1428" t="s">
        <v>251</v>
      </c>
      <c r="C45" s="1428" t="s">
        <v>252</v>
      </c>
      <c r="D45" s="1428" t="s">
        <v>516</v>
      </c>
      <c r="E45" s="2324"/>
      <c r="F45" s="2324"/>
      <c r="G45" s="2324"/>
      <c r="H45" s="2324"/>
      <c r="I45" s="2351"/>
      <c r="J45" s="2321" t="str">
        <f>I44&amp;".1"</f>
        <v>...1.1</v>
      </c>
      <c r="K45" s="1428"/>
      <c r="L45" s="1429" t="s">
        <v>425</v>
      </c>
      <c r="P45" s="2322"/>
      <c r="Q45" s="2322">
        <v>1</v>
      </c>
      <c r="R45" s="422"/>
      <c r="S45" s="1522" t="str">
        <f>$J45</f>
        <v>...1.1</v>
      </c>
      <c r="T45" s="351" t="s">
        <v>426</v>
      </c>
      <c r="U45" s="365"/>
      <c r="V45" s="2310"/>
      <c r="W45" s="2311"/>
      <c r="X45" s="2311"/>
      <c r="Y45" s="2311"/>
      <c r="Z45" s="2311"/>
      <c r="AA45" s="2311"/>
      <c r="AB45" s="2312"/>
      <c r="AC45" s="2310"/>
      <c r="AD45" s="2311"/>
      <c r="AE45" s="2311"/>
      <c r="AF45" s="2311"/>
      <c r="AG45" s="2311"/>
      <c r="AH45" s="2311"/>
      <c r="AI45" s="2311"/>
      <c r="AJ45" s="2312"/>
      <c r="AK45" s="1372" t="s">
        <v>505</v>
      </c>
      <c r="AM45" s="565"/>
      <c r="AN45" s="565" t="str">
        <f>IF(T45="","",T45)</f>
        <v>Группа потребителей</v>
      </c>
      <c r="AO45" s="565"/>
      <c r="AP45" s="565"/>
      <c r="AQ45" s="1220">
        <v>23</v>
      </c>
    </row>
    <row customHeight="1" ht="24">
      <c r="A46" s="1428" t="s">
        <v>250</v>
      </c>
      <c r="B46" s="1428" t="s">
        <v>251</v>
      </c>
      <c r="C46" s="1428" t="s">
        <v>252</v>
      </c>
      <c r="D46" s="1428" t="s">
        <v>516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64</v>
      </c>
      <c r="AA46" s="2330"/>
      <c r="AB46" s="2172" t="s">
        <v>64</v>
      </c>
      <c r="AC46" s="816"/>
      <c r="AD46" s="816"/>
      <c r="AE46" s="1322"/>
      <c r="AF46" s="2330"/>
      <c r="AG46" s="2172" t="s">
        <v>64</v>
      </c>
      <c r="AH46" s="2352"/>
      <c r="AI46" s="2172" t="s">
        <v>64</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250</v>
      </c>
      <c r="B47" s="1428" t="s">
        <v>251</v>
      </c>
      <c r="C47" s="1428" t="s">
        <v>252</v>
      </c>
      <c r="D47" s="1428" t="s">
        <v>516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250</v>
      </c>
      <c r="B48" s="1428" t="s">
        <v>251</v>
      </c>
      <c r="C48" s="1428" t="s">
        <v>252</v>
      </c>
      <c r="D48" s="1428" t="s">
        <v>516</v>
      </c>
      <c r="E48" s="2324"/>
      <c r="F48" s="2324"/>
      <c r="G48" s="2324"/>
      <c r="H48" s="2324"/>
      <c r="I48" s="2351"/>
      <c r="J48" s="2321"/>
      <c r="K48" s="1428"/>
      <c r="L48" s="1429"/>
      <c r="P48" s="2322"/>
      <c r="Q48" s="2322"/>
      <c r="R48" s="421"/>
      <c r="S48" s="1343"/>
      <c r="T48" s="352" t="s">
        <v>506</v>
      </c>
      <c r="U48" s="432"/>
      <c r="V48" s="432"/>
      <c r="W48" s="432"/>
      <c r="X48" s="432"/>
      <c r="Y48" s="432"/>
      <c r="Z48" s="432"/>
      <c r="AA48" s="432"/>
      <c r="AB48" s="432"/>
      <c r="AC48" s="432"/>
      <c r="AD48" s="432"/>
      <c r="AE48" s="432"/>
      <c r="AF48" s="432"/>
      <c r="AG48" s="432"/>
      <c r="AH48" s="432"/>
      <c r="AI48" s="432"/>
      <c r="AJ48" s="432"/>
      <c r="AK48" s="1323" t="s">
        <v>507</v>
      </c>
      <c r="AM48" s="565"/>
      <c r="AN48" s="565" t="str">
        <f>IF(T48="","",T48)</f>
        <v>Добавить значение признака дифференциации</v>
      </c>
      <c r="AO48" s="565"/>
      <c r="AP48" s="565"/>
      <c r="AQ48" s="1220">
        <v>20</v>
      </c>
    </row>
    <row customHeight="1" ht="22.049999999999997">
      <c r="A49" s="1428" t="s">
        <v>250</v>
      </c>
      <c r="B49" s="1428" t="s">
        <v>251</v>
      </c>
      <c r="C49" s="1428" t="s">
        <v>252</v>
      </c>
      <c r="D49" s="1428" t="s">
        <v>516</v>
      </c>
      <c r="E49" s="2324"/>
      <c r="F49" s="2324"/>
      <c r="G49" s="2324"/>
      <c r="H49" s="2324"/>
      <c r="I49" s="2321"/>
      <c r="J49" s="1428"/>
      <c r="K49" s="1428"/>
      <c r="L49" s="1429"/>
      <c r="P49" s="2322"/>
      <c r="Q49" s="1515"/>
      <c r="R49" s="421"/>
      <c r="S49" s="1343"/>
      <c r="T49" s="430" t="s">
        <v>431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250</v>
      </c>
      <c r="B50" s="1428" t="s">
        <v>251</v>
      </c>
      <c r="C50" s="1428" t="s">
        <v>252</v>
      </c>
      <c r="D50" s="1428" t="s">
        <v>516</v>
      </c>
      <c r="E50" s="2324"/>
      <c r="F50" s="2324"/>
      <c r="G50" s="2324"/>
      <c r="H50" s="2323"/>
      <c r="I50" s="1428"/>
      <c r="J50" s="1428"/>
      <c r="K50" s="1428"/>
      <c r="L50" s="1429"/>
      <c r="M50" s="1430"/>
      <c r="N50" s="1430"/>
      <c r="O50" s="602"/>
      <c r="P50" s="425"/>
      <c r="Q50" s="440"/>
      <c r="R50" s="420"/>
      <c r="S50" s="1343"/>
      <c r="T50" s="437" t="s">
        <v>508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3" customFormat="1" customHeight="1" ht="0">
      <c r="A51" s="1408" t="s">
        <v>250</v>
      </c>
      <c r="B51" s="1408" t="s">
        <v>251</v>
      </c>
      <c r="C51" s="1379"/>
      <c r="D51" s="1379"/>
      <c r="E51" s="2324"/>
      <c r="F51" s="2323"/>
      <c r="G51" s="1379"/>
      <c r="H51" s="1379"/>
      <c r="I51" s="1379"/>
      <c r="J51" s="1379"/>
      <c r="K51" s="1379"/>
      <c r="L51" s="1523"/>
      <c r="M51" s="1386"/>
      <c r="N51" s="1386"/>
      <c r="P51" s="1381"/>
      <c r="Q51" s="1382"/>
      <c r="R51" s="1381"/>
      <c r="S51" s="1387"/>
      <c r="T51" s="1390" t="s">
        <v>166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3" customFormat="1" customHeight="1" ht="0">
      <c r="A52" s="1408" t="s">
        <v>250</v>
      </c>
      <c r="B52" s="1408"/>
      <c r="C52" s="1408"/>
      <c r="D52" s="1408"/>
      <c r="E52" s="2323"/>
      <c r="F52" s="1408"/>
      <c r="G52" s="1408"/>
      <c r="H52" s="1408"/>
      <c r="I52" s="1408"/>
      <c r="J52" s="1408"/>
      <c r="K52" s="1408"/>
      <c r="L52" s="1411"/>
      <c r="M52" s="1386"/>
      <c r="N52" s="1386"/>
      <c r="O52" s="583"/>
      <c r="P52" s="445"/>
      <c r="Q52" s="1409"/>
      <c r="R52" s="445"/>
      <c r="S52" s="1387"/>
      <c r="T52" s="1390" t="s">
        <v>167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3"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168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845EE-9BC6-D481-6175-ED1C1E0BB1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4.140625" hidden="1" customWidth="1"/>
    <col min="10" max="10" style="4903" width="9.8515625" hidden="1" customWidth="1"/>
    <col min="11" max="11" style="4903" width="14.71093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5.00390625" customWidth="1"/>
    <col min="21" max="21" style="4921" width="0.140625" customWidth="1"/>
    <col min="22" max="24" style="4921" width="24.7109375" hidden="1" customWidth="1"/>
    <col min="25" max="25" style="4921" width="11.7109375" hidden="1" customWidth="1"/>
    <col min="26" max="26" style="4921" width="3.7109375" hidden="1" customWidth="1"/>
    <col min="27" max="27" style="4921" width="11.7109375" hidden="1" customWidth="1"/>
    <col min="28" max="28" style="4921" width="8.57421875" hidden="1" customWidth="1"/>
    <col min="29" max="29" style="4921" width="24.7109375" customWidth="1"/>
    <col min="30" max="31" style="4921" width="24.00390625" customWidth="1"/>
    <col min="32" max="32" style="4921" width="11.00390625" customWidth="1"/>
    <col min="33" max="33" style="4921" width="3.7109375" customWidth="1"/>
    <col min="34" max="34" style="4921" width="11.00390625" customWidth="1"/>
    <col min="35" max="35" style="4921" width="8.57421875" hidden="1" customWidth="1"/>
    <col min="36" max="36" style="4921" width="4.00390625" customWidth="1"/>
    <col min="37" max="37" style="4921" width="115.00390625" customWidth="1"/>
    <col min="38" max="42" style="4423" width="10.00390625" customWidth="1"/>
    <col min="43" max="43" style="4921"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501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503</v>
      </c>
      <c r="U5" s="365"/>
      <c r="V5" s="2415"/>
      <c r="W5" s="2416"/>
      <c r="X5" s="2416"/>
      <c r="Y5" s="2416"/>
      <c r="Z5" s="2416"/>
      <c r="AA5" s="2416"/>
      <c r="AB5" s="2417"/>
      <c r="AC5" s="2418"/>
      <c r="AD5" s="2419"/>
      <c r="AE5" s="2419"/>
      <c r="AF5" s="2419"/>
      <c r="AG5" s="2419"/>
      <c r="AH5" s="2419"/>
      <c r="AI5" s="2419"/>
      <c r="AJ5" s="2420"/>
      <c r="AK5" s="1323" t="s">
        <v>504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425</v>
      </c>
      <c r="P6" s="2322"/>
      <c r="Q6" s="2322">
        <v>1</v>
      </c>
      <c r="R6" s="422"/>
      <c r="S6" s="1522">
        <f>$J6</f>
      </c>
      <c r="T6" s="351" t="s">
        <v>426</v>
      </c>
      <c r="U6" s="365"/>
      <c r="V6" s="2310"/>
      <c r="W6" s="2311"/>
      <c r="X6" s="2311"/>
      <c r="Y6" s="2311"/>
      <c r="Z6" s="2311"/>
      <c r="AA6" s="2311"/>
      <c r="AB6" s="2312"/>
      <c r="AC6" s="2310"/>
      <c r="AD6" s="2311"/>
      <c r="AE6" s="2311"/>
      <c r="AF6" s="2311"/>
      <c r="AG6" s="2311"/>
      <c r="AH6" s="2311"/>
      <c r="AI6" s="2311"/>
      <c r="AJ6" s="2312"/>
      <c r="AK6" s="1372" t="s">
        <v>505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506</v>
      </c>
      <c r="U9" s="432"/>
      <c r="V9" s="432"/>
      <c r="W9" s="432"/>
      <c r="X9" s="432"/>
      <c r="Y9" s="432"/>
      <c r="Z9" s="432"/>
      <c r="AA9" s="432"/>
      <c r="AB9" s="432"/>
      <c r="AC9" s="432"/>
      <c r="AD9" s="432"/>
      <c r="AE9" s="432"/>
      <c r="AF9" s="432"/>
      <c r="AG9" s="432"/>
      <c r="AH9" s="432"/>
      <c r="AI9" s="432"/>
      <c r="AJ9" s="432"/>
      <c r="AK9" s="1323" t="s">
        <v>507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431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3"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166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3"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903" customFormat="1" customHeight="1" ht="22.5" hidden="1">
      <c r="L18" s="1512"/>
      <c r="M18" s="1427"/>
      <c r="N18" s="1427"/>
      <c r="O18" s="1432" t="s">
        <v>433</v>
      </c>
      <c r="P18" s="1427"/>
      <c r="Q18" s="1436"/>
      <c r="R18" s="1436"/>
      <c r="S18" s="794"/>
      <c r="Y18" s="1432"/>
      <c r="AA18" s="1432"/>
      <c r="AB18" s="1431"/>
      <c r="AF18" s="1432"/>
      <c r="AH18" s="1432"/>
      <c r="AI18" s="1431"/>
      <c r="AL18" s="576"/>
      <c r="AM18" s="576"/>
      <c r="AN18" s="576"/>
      <c r="AO18" s="576"/>
      <c r="AP18" s="576"/>
      <c r="AQ18" s="1225">
        <v>0</v>
      </c>
    </row>
    <row s="4903" customFormat="1" customHeight="1" ht="14.25" hidden="1">
      <c r="L19" s="1512"/>
      <c r="M19" s="1427"/>
      <c r="N19" s="1427"/>
      <c r="O19" s="1427"/>
      <c r="P19" s="1427"/>
      <c r="Q19" s="1436"/>
      <c r="R19" s="1436"/>
      <c r="S19" s="794"/>
      <c r="AB19" s="1431"/>
      <c r="AI19" s="1431"/>
      <c r="AL19" s="576"/>
      <c r="AM19" s="576"/>
      <c r="AN19" s="576"/>
      <c r="AO19" s="576"/>
      <c r="AP19" s="576"/>
      <c r="AQ19" s="1225">
        <v>0</v>
      </c>
    </row>
    <row s="4903" customFormat="1" customHeight="1" ht="12" hidden="1">
      <c r="L20" s="1512"/>
      <c r="M20" s="1427"/>
      <c r="N20" s="1427"/>
      <c r="O20" s="1429" t="s">
        <v>434</v>
      </c>
      <c r="P20" s="1427"/>
      <c r="Q20" s="1507"/>
      <c r="R20" s="1507"/>
      <c r="S20" s="794"/>
      <c r="T20" s="1225" t="s">
        <v>435</v>
      </c>
      <c r="Z20" s="251" t="s">
        <v>436</v>
      </c>
      <c r="AB20" s="251" t="s">
        <v>437</v>
      </c>
      <c r="AC20" s="1225" t="s">
        <v>435</v>
      </c>
      <c r="AG20" s="251" t="s">
        <v>438</v>
      </c>
      <c r="AI20" s="251" t="s">
        <v>437</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5"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485" customFormat="1" customHeight="1" ht="18.75">
      <c r="A28" s="1433"/>
      <c r="B28" s="1433"/>
      <c r="C28" s="1433"/>
      <c r="D28" s="1433"/>
      <c r="E28" s="1433"/>
      <c r="F28" s="1433"/>
      <c r="G28" s="1433"/>
      <c r="H28" s="1433"/>
      <c r="I28" s="1433"/>
      <c r="J28" s="1433"/>
      <c r="K28" s="1433"/>
      <c r="L28" s="1434"/>
      <c r="M28" s="1433"/>
      <c r="N28" s="1433"/>
      <c r="O28" s="1433"/>
      <c r="S28" s="2315" t="s">
        <v>439</v>
      </c>
      <c r="T28" s="2315"/>
      <c r="U28" s="1437"/>
      <c r="V28" s="2329" t="str">
        <f>IF(TITLE_DATE_PR_CHANGE="",IF(TITLE_DATE_PR="","",TITLE_DATE_PR),TITLE_DATE_PR_CHANGE)</f>
        <v>45643.434652777774</v>
      </c>
      <c r="W28" s="2329"/>
      <c r="X28" s="2329"/>
      <c r="Y28" s="2329"/>
      <c r="Z28" s="2329"/>
      <c r="AA28" s="2329"/>
      <c r="AB28" s="391"/>
      <c r="AC28" s="2329" t="str">
        <f>IF(TITLE_DATE_PR_CHANGE="",IF(TITLE_DATE_PR="","",TITLE_DATE_PR),TITLE_DATE_PR_CHANGE)</f>
        <v>45643.434652777774</v>
      </c>
      <c r="AD28" s="2329"/>
      <c r="AE28" s="2329"/>
      <c r="AF28" s="2329"/>
      <c r="AG28" s="2329"/>
      <c r="AH28" s="2329"/>
      <c r="AI28" s="391"/>
      <c r="AJ28" s="391"/>
      <c r="AK28" s="345"/>
      <c r="AL28" s="433"/>
      <c r="AM28" s="433"/>
      <c r="AN28" s="433"/>
      <c r="AO28" s="433"/>
      <c r="AP28" s="433"/>
      <c r="AQ28" s="483">
        <v>0</v>
      </c>
    </row>
    <row s="5485" customFormat="1" customHeight="1" ht="18.75">
      <c r="A29" s="1433"/>
      <c r="B29" s="1433"/>
      <c r="C29" s="1433"/>
      <c r="D29" s="1433"/>
      <c r="E29" s="1433"/>
      <c r="F29" s="1433"/>
      <c r="G29" s="1433"/>
      <c r="H29" s="1433"/>
      <c r="I29" s="1433"/>
      <c r="J29" s="1433"/>
      <c r="K29" s="1433"/>
      <c r="L29" s="1434"/>
      <c r="M29" s="1433"/>
      <c r="N29" s="1433"/>
      <c r="O29" s="1433"/>
      <c r="S29" s="2315" t="s">
        <v>440</v>
      </c>
      <c r="T29" s="2315"/>
      <c r="U29" s="1437"/>
      <c r="V29" s="2316" t="str">
        <f>IF(TITLE_NUMBER_PR_CHANGE="",IF(TITLE_NUMBER_PR="","",TITLE_NUMBER_PR),TITLE_NUMBER_PR_CHANGE)</f>
        <v>71/2</v>
      </c>
      <c r="W29" s="2316"/>
      <c r="X29" s="2316"/>
      <c r="Y29" s="2316"/>
      <c r="Z29" s="2316"/>
      <c r="AA29" s="2316"/>
      <c r="AB29" s="391"/>
      <c r="AC29" s="2316" t="str">
        <f>IF(TITLE_NUMBER_PR_CHANGE="",IF(TITLE_NUMBER_PR="","",TITLE_NUMBER_PR),TITLE_NUMBER_PR_CHANGE)</f>
        <v>71/2</v>
      </c>
      <c r="AD29" s="2316"/>
      <c r="AE29" s="2316"/>
      <c r="AF29" s="2316"/>
      <c r="AG29" s="2316"/>
      <c r="AH29" s="2316"/>
      <c r="AI29" s="391"/>
      <c r="AJ29" s="391"/>
      <c r="AK29" s="345"/>
      <c r="AL29" s="433"/>
      <c r="AM29" s="433"/>
      <c r="AN29" s="433"/>
      <c r="AO29" s="433"/>
      <c r="AP29" s="433"/>
      <c r="AQ29" s="483">
        <v>0</v>
      </c>
    </row>
    <row s="5485"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Официальный интернет-портал правовой информации Ставропольского края</v>
      </c>
      <c r="W30" s="2316"/>
      <c r="X30" s="2316"/>
      <c r="Y30" s="2316"/>
      <c r="Z30" s="2316"/>
      <c r="AA30" s="2316"/>
      <c r="AB30" s="391"/>
      <c r="AC30" s="2316" t="str">
        <f>IF(TITLE_IST_PUB_CHANGE="",IF(TITLE_IST_PUB="","",TITLE_IST_PUB),TITLE_IST_PUB_CHANGE)</f>
        <v>Официальный интернет-портал правовой информации Ставропольского края</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5" customFormat="1" customHeight="1" ht="18.75" hidden="1">
      <c r="A32" s="1433"/>
      <c r="B32" s="1433"/>
      <c r="C32" s="1433"/>
      <c r="D32" s="1433"/>
      <c r="E32" s="1433"/>
      <c r="F32" s="1433"/>
      <c r="G32" s="1433"/>
      <c r="H32" s="1433"/>
      <c r="I32" s="1433"/>
      <c r="J32" s="1433"/>
      <c r="K32" s="1433"/>
      <c r="L32" s="1434"/>
      <c r="M32" s="1433"/>
      <c r="N32" s="1433"/>
      <c r="O32" s="1433"/>
      <c r="S32" s="2315" t="s">
        <v>441</v>
      </c>
      <c r="T32" s="2315"/>
      <c r="U32" s="1437"/>
      <c r="V32" s="2329" t="str">
        <f>IF(TITLE_DATE_PR_CHANGE="",IF(TITLE_DATE_PR="","",TITLE_DATE_PR),TITLE_DATE_PR_CHANGE)</f>
        <v>45643.434652777774</v>
      </c>
      <c r="W32" s="2329"/>
      <c r="X32" s="2329"/>
      <c r="Y32" s="2329"/>
      <c r="Z32" s="2329"/>
      <c r="AA32" s="2329"/>
      <c r="AB32" s="391"/>
      <c r="AC32" s="2329" t="str">
        <f>IF(TITLE_DATE_PR_CHANGE="",IF(TITLE_DATE_PR="","",TITLE_DATE_PR),TITLE_DATE_PR_CHANGE)</f>
        <v>45643.434652777774</v>
      </c>
      <c r="AD32" s="2329"/>
      <c r="AE32" s="2329"/>
      <c r="AF32" s="2329"/>
      <c r="AG32" s="2329"/>
      <c r="AH32" s="2329"/>
      <c r="AI32" s="391"/>
      <c r="AJ32" s="391"/>
      <c r="AK32" s="345"/>
      <c r="AL32" s="433"/>
      <c r="AM32" s="433"/>
      <c r="AN32" s="433"/>
      <c r="AO32" s="433"/>
      <c r="AP32" s="433"/>
      <c r="AQ32" s="483">
        <v>0</v>
      </c>
    </row>
    <row s="5485" customFormat="1" customHeight="1" ht="18.75" hidden="1">
      <c r="A33" s="1433"/>
      <c r="B33" s="1433"/>
      <c r="C33" s="1433"/>
      <c r="D33" s="1433"/>
      <c r="E33" s="1433"/>
      <c r="F33" s="1433"/>
      <c r="G33" s="1433"/>
      <c r="H33" s="1433"/>
      <c r="I33" s="1433"/>
      <c r="J33" s="1433"/>
      <c r="K33" s="1433"/>
      <c r="L33" s="1434"/>
      <c r="M33" s="1433"/>
      <c r="N33" s="1433"/>
      <c r="O33" s="1433"/>
      <c r="S33" s="2315" t="s">
        <v>442</v>
      </c>
      <c r="T33" s="2315"/>
      <c r="U33" s="1437"/>
      <c r="V33" s="2316" t="str">
        <f>IF(TITLE_NUMBER_PR_CHANGE="",IF(TITLE_NUMBER_PR="","",TITLE_NUMBER_PR),TITLE_NUMBER_PR_CHANGE)</f>
        <v>71/2</v>
      </c>
      <c r="W33" s="2316"/>
      <c r="X33" s="2316"/>
      <c r="Y33" s="2316"/>
      <c r="Z33" s="2316"/>
      <c r="AA33" s="2316"/>
      <c r="AB33" s="391"/>
      <c r="AC33" s="2316" t="str">
        <f>IF(TITLE_NUMBER_PR_CHANGE="",IF(TITLE_NUMBER_PR="","",TITLE_NUMBER_PR),TITLE_NUMBER_PR_CHANGE)</f>
        <v>71/2</v>
      </c>
      <c r="AD33" s="2316"/>
      <c r="AE33" s="2316"/>
      <c r="AF33" s="2316"/>
      <c r="AG33" s="2316"/>
      <c r="AH33" s="2316"/>
      <c r="AI33" s="391"/>
      <c r="AJ33" s="391"/>
      <c r="AK33" s="345"/>
      <c r="AL33" s="433"/>
      <c r="AM33" s="433"/>
      <c r="AN33" s="433"/>
      <c r="AO33" s="433"/>
      <c r="AP33" s="433"/>
      <c r="AQ33" s="483">
        <v>0</v>
      </c>
    </row>
    <row s="5485"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443</v>
      </c>
      <c r="AC34" s="391"/>
      <c r="AD34" s="391"/>
      <c r="AE34" s="391"/>
      <c r="AF34" s="391"/>
      <c r="AG34" s="391"/>
      <c r="AH34" s="391"/>
      <c r="AI34" s="343" t="s">
        <v>443</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319</v>
      </c>
      <c r="T36" s="2192"/>
      <c r="U36" s="2192"/>
      <c r="V36" s="2192"/>
      <c r="W36" s="2192"/>
      <c r="X36" s="2192"/>
      <c r="Y36" s="2192"/>
      <c r="Z36" s="2192"/>
      <c r="AA36" s="2192"/>
      <c r="AB36" s="2192"/>
      <c r="AC36" s="2192"/>
      <c r="AD36" s="2192"/>
      <c r="AE36" s="2192"/>
      <c r="AF36" s="2192"/>
      <c r="AG36" s="2192"/>
      <c r="AH36" s="2192"/>
      <c r="AI36" s="2192"/>
      <c r="AJ36" s="2192"/>
      <c r="AK36" s="2192" t="s">
        <v>320</v>
      </c>
      <c r="AQ36" s="1220">
        <v>14</v>
      </c>
    </row>
    <row customHeight="1" ht="14.699999999999998">
      <c r="Q37" s="441"/>
      <c r="R37" s="441"/>
      <c r="S37" s="2338" t="s">
        <v>91</v>
      </c>
      <c r="T37" s="2274" t="s">
        <v>444</v>
      </c>
      <c r="U37" s="366"/>
      <c r="V37" s="2339" t="s">
        <v>445</v>
      </c>
      <c r="W37" s="2340"/>
      <c r="X37" s="2340"/>
      <c r="Y37" s="2340"/>
      <c r="Z37" s="2340"/>
      <c r="AA37" s="2341"/>
      <c r="AB37" s="2342" t="s">
        <v>446</v>
      </c>
      <c r="AC37" s="2339" t="s">
        <v>445</v>
      </c>
      <c r="AD37" s="2340"/>
      <c r="AE37" s="2340"/>
      <c r="AF37" s="2340"/>
      <c r="AG37" s="2340"/>
      <c r="AH37" s="2341"/>
      <c r="AI37" s="2342" t="s">
        <v>447</v>
      </c>
      <c r="AJ37" s="2345" t="s">
        <v>448</v>
      </c>
      <c r="AK37" s="2192"/>
      <c r="AQ37" s="1220">
        <v>14</v>
      </c>
    </row>
    <row customHeight="1" ht="35.699999999999996">
      <c r="Q38" s="441"/>
      <c r="R38" s="441"/>
      <c r="S38" s="2338"/>
      <c r="T38" s="2274"/>
      <c r="U38" s="1096"/>
      <c r="V38" s="1517" t="s">
        <v>509</v>
      </c>
      <c r="W38" s="2327" t="s">
        <v>451</v>
      </c>
      <c r="X38" s="2328"/>
      <c r="Y38" s="2327" t="s">
        <v>452</v>
      </c>
      <c r="Z38" s="2334"/>
      <c r="AA38" s="2328"/>
      <c r="AB38" s="2343"/>
      <c r="AC38" s="1517" t="s">
        <v>509</v>
      </c>
      <c r="AD38" s="2327" t="s">
        <v>451</v>
      </c>
      <c r="AE38" s="2328"/>
      <c r="AF38" s="2327" t="s">
        <v>452</v>
      </c>
      <c r="AG38" s="2334"/>
      <c r="AH38" s="2328"/>
      <c r="AI38" s="2343"/>
      <c r="AJ38" s="2346"/>
      <c r="AK38" s="2192"/>
      <c r="AQ38" s="1220">
        <v>34</v>
      </c>
    </row>
    <row customHeight="1" ht="35.699999999999996">
      <c r="A39" s="1435"/>
      <c r="B39" s="1435" t="s">
        <v>138</v>
      </c>
      <c r="C39" s="1435" t="s">
        <v>139</v>
      </c>
      <c r="D39" s="1435" t="s">
        <v>140</v>
      </c>
      <c r="E39" s="1429" t="s">
        <v>453</v>
      </c>
      <c r="F39" s="1429" t="s">
        <v>454</v>
      </c>
      <c r="G39" s="1429" t="s">
        <v>455</v>
      </c>
      <c r="H39" s="1429"/>
      <c r="I39" s="1429" t="s">
        <v>510</v>
      </c>
      <c r="J39" s="1429" t="s">
        <v>458</v>
      </c>
      <c r="K39" s="1429" t="s">
        <v>511</v>
      </c>
      <c r="L39" s="1429" t="s">
        <v>434</v>
      </c>
      <c r="Q39" s="441"/>
      <c r="R39" s="441"/>
      <c r="S39" s="2338"/>
      <c r="T39" s="2274"/>
      <c r="U39" s="367"/>
      <c r="V39" s="1517" t="s">
        <v>512</v>
      </c>
      <c r="W39" s="1287" t="s">
        <v>513</v>
      </c>
      <c r="X39" s="1287" t="s">
        <v>514</v>
      </c>
      <c r="Y39" s="1520" t="s">
        <v>462</v>
      </c>
      <c r="Z39" s="2335" t="s">
        <v>463</v>
      </c>
      <c r="AA39" s="2336"/>
      <c r="AB39" s="2344"/>
      <c r="AC39" s="1517" t="s">
        <v>512</v>
      </c>
      <c r="AD39" s="1287" t="s">
        <v>513</v>
      </c>
      <c r="AE39" s="1287" t="s">
        <v>514</v>
      </c>
      <c r="AF39" s="1520" t="s">
        <v>462</v>
      </c>
      <c r="AG39" s="2335" t="s">
        <v>463</v>
      </c>
      <c r="AH39" s="2336"/>
      <c r="AI39" s="2344"/>
      <c r="AJ39" s="2347"/>
      <c r="AK39" s="2192"/>
      <c r="AQ39" s="1220">
        <v>34</v>
      </c>
    </row>
    <row s="4094"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112</v>
      </c>
      <c r="T40" s="1320" t="s">
        <v>113</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255</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255</v>
      </c>
      <c r="B42" s="1428" t="s">
        <v>256</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417</v>
      </c>
      <c r="AM42" s="565"/>
      <c r="AN42" s="565" t="str">
        <f>IF(T42="","",T42)</f>
        <v>Территория действия тарифа</v>
      </c>
      <c r="AO42" s="565"/>
      <c r="AP42" s="565"/>
      <c r="AQ42" s="1220">
        <v>23</v>
      </c>
    </row>
    <row customHeight="1" ht="24">
      <c r="A43" s="1428" t="s">
        <v>255</v>
      </c>
      <c r="B43" s="1428" t="s">
        <v>256</v>
      </c>
      <c r="C43" s="1428" t="s">
        <v>257</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501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502</v>
      </c>
      <c r="AM43" s="565"/>
      <c r="AN43" s="565" t="str">
        <f>IF(T43="","",T43)</f>
        <v>Наименование централизованной системы холодного водоснабжения</v>
      </c>
      <c r="AO43" s="565"/>
      <c r="AP43" s="565"/>
      <c r="AQ43" s="1220">
        <v>23</v>
      </c>
    </row>
    <row customHeight="1" ht="24">
      <c r="A44" s="1428" t="s">
        <v>255</v>
      </c>
      <c r="B44" s="1428" t="s">
        <v>256</v>
      </c>
      <c r="C44" s="1428" t="s">
        <v>257</v>
      </c>
      <c r="D44" s="1428" t="s">
        <v>517</v>
      </c>
      <c r="E44" s="2324"/>
      <c r="F44" s="2324"/>
      <c r="G44" s="2324"/>
      <c r="H44" s="2324"/>
      <c r="I44" s="2321" t="str">
        <f>S43&amp;".1"</f>
        <v>...1</v>
      </c>
      <c r="J44" s="1428"/>
      <c r="K44" s="1428"/>
      <c r="L44" s="1429"/>
      <c r="P44" s="2322">
        <v>1</v>
      </c>
      <c r="Q44" s="1515"/>
      <c r="R44" s="421"/>
      <c r="S44" s="1522" t="str">
        <f>$I44</f>
        <v>...1</v>
      </c>
      <c r="T44" s="350" t="s">
        <v>503</v>
      </c>
      <c r="U44" s="365"/>
      <c r="V44" s="2415"/>
      <c r="W44" s="2416"/>
      <c r="X44" s="2416"/>
      <c r="Y44" s="2416"/>
      <c r="Z44" s="2416"/>
      <c r="AA44" s="2416"/>
      <c r="AB44" s="2417"/>
      <c r="AC44" s="2418"/>
      <c r="AD44" s="2419"/>
      <c r="AE44" s="2419"/>
      <c r="AF44" s="2419"/>
      <c r="AG44" s="2419"/>
      <c r="AH44" s="2419"/>
      <c r="AI44" s="2419"/>
      <c r="AJ44" s="2420"/>
      <c r="AK44" s="1323" t="s">
        <v>504</v>
      </c>
      <c r="AM44" s="565"/>
      <c r="AN44" s="565" t="str">
        <f>IF(T44="","",T44)</f>
        <v>Наименование признака дифференциации</v>
      </c>
      <c r="AO44" s="565"/>
      <c r="AP44" s="565"/>
      <c r="AQ44" s="1220">
        <v>23</v>
      </c>
    </row>
    <row customHeight="1" ht="24">
      <c r="A45" s="1428" t="s">
        <v>255</v>
      </c>
      <c r="B45" s="1428" t="s">
        <v>256</v>
      </c>
      <c r="C45" s="1428" t="s">
        <v>257</v>
      </c>
      <c r="D45" s="1428" t="s">
        <v>517</v>
      </c>
      <c r="E45" s="2324"/>
      <c r="F45" s="2324"/>
      <c r="G45" s="2324"/>
      <c r="H45" s="2324"/>
      <c r="I45" s="2351"/>
      <c r="J45" s="2321" t="str">
        <f>I44&amp;".1"</f>
        <v>...1.1</v>
      </c>
      <c r="K45" s="1428"/>
      <c r="L45" s="1429" t="s">
        <v>425</v>
      </c>
      <c r="P45" s="2322"/>
      <c r="Q45" s="2322">
        <v>1</v>
      </c>
      <c r="R45" s="422"/>
      <c r="S45" s="1522" t="str">
        <f>$J45</f>
        <v>...1.1</v>
      </c>
      <c r="T45" s="351" t="s">
        <v>426</v>
      </c>
      <c r="U45" s="365"/>
      <c r="V45" s="2310"/>
      <c r="W45" s="2311"/>
      <c r="X45" s="2311"/>
      <c r="Y45" s="2311"/>
      <c r="Z45" s="2311"/>
      <c r="AA45" s="2311"/>
      <c r="AB45" s="2312"/>
      <c r="AC45" s="2310"/>
      <c r="AD45" s="2311"/>
      <c r="AE45" s="2311"/>
      <c r="AF45" s="2311"/>
      <c r="AG45" s="2311"/>
      <c r="AH45" s="2311"/>
      <c r="AI45" s="2311"/>
      <c r="AJ45" s="2312"/>
      <c r="AK45" s="1372" t="s">
        <v>505</v>
      </c>
      <c r="AM45" s="565"/>
      <c r="AN45" s="565" t="str">
        <f>IF(T45="","",T45)</f>
        <v>Группа потребителей</v>
      </c>
      <c r="AO45" s="565"/>
      <c r="AP45" s="565"/>
      <c r="AQ45" s="1220">
        <v>23</v>
      </c>
    </row>
    <row customHeight="1" ht="24">
      <c r="A46" s="1428" t="s">
        <v>255</v>
      </c>
      <c r="B46" s="1428" t="s">
        <v>256</v>
      </c>
      <c r="C46" s="1428" t="s">
        <v>257</v>
      </c>
      <c r="D46" s="1428" t="s">
        <v>517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64</v>
      </c>
      <c r="AA46" s="2330"/>
      <c r="AB46" s="2172" t="s">
        <v>64</v>
      </c>
      <c r="AC46" s="816"/>
      <c r="AD46" s="816"/>
      <c r="AE46" s="1322"/>
      <c r="AF46" s="2330"/>
      <c r="AG46" s="2172" t="s">
        <v>64</v>
      </c>
      <c r="AH46" s="2352"/>
      <c r="AI46" s="2172" t="s">
        <v>64</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255</v>
      </c>
      <c r="B47" s="1428" t="s">
        <v>256</v>
      </c>
      <c r="C47" s="1428" t="s">
        <v>257</v>
      </c>
      <c r="D47" s="1428" t="s">
        <v>517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255</v>
      </c>
      <c r="B48" s="1428" t="s">
        <v>256</v>
      </c>
      <c r="C48" s="1428" t="s">
        <v>257</v>
      </c>
      <c r="D48" s="1428" t="s">
        <v>517</v>
      </c>
      <c r="E48" s="2324"/>
      <c r="F48" s="2324"/>
      <c r="G48" s="2324"/>
      <c r="H48" s="2324"/>
      <c r="I48" s="2351"/>
      <c r="J48" s="2321"/>
      <c r="K48" s="1428"/>
      <c r="L48" s="1429"/>
      <c r="P48" s="2322"/>
      <c r="Q48" s="2322"/>
      <c r="R48" s="421"/>
      <c r="S48" s="1343"/>
      <c r="T48" s="352" t="s">
        <v>506</v>
      </c>
      <c r="U48" s="432"/>
      <c r="V48" s="432"/>
      <c r="W48" s="432"/>
      <c r="X48" s="432"/>
      <c r="Y48" s="432"/>
      <c r="Z48" s="432"/>
      <c r="AA48" s="432"/>
      <c r="AB48" s="432"/>
      <c r="AC48" s="432"/>
      <c r="AD48" s="432"/>
      <c r="AE48" s="432"/>
      <c r="AF48" s="432"/>
      <c r="AG48" s="432"/>
      <c r="AH48" s="432"/>
      <c r="AI48" s="432"/>
      <c r="AJ48" s="432"/>
      <c r="AK48" s="1323" t="s">
        <v>507</v>
      </c>
      <c r="AM48" s="565"/>
      <c r="AN48" s="565" t="str">
        <f>IF(T48="","",T48)</f>
        <v>Добавить значение признака дифференциации</v>
      </c>
      <c r="AO48" s="565"/>
      <c r="AP48" s="565"/>
      <c r="AQ48" s="1220">
        <v>20</v>
      </c>
    </row>
    <row customHeight="1" ht="22.049999999999997">
      <c r="A49" s="1428" t="s">
        <v>255</v>
      </c>
      <c r="B49" s="1428" t="s">
        <v>256</v>
      </c>
      <c r="C49" s="1428" t="s">
        <v>257</v>
      </c>
      <c r="D49" s="1428" t="s">
        <v>517</v>
      </c>
      <c r="E49" s="2324"/>
      <c r="F49" s="2324"/>
      <c r="G49" s="2324"/>
      <c r="H49" s="2324"/>
      <c r="I49" s="2321"/>
      <c r="J49" s="1428"/>
      <c r="K49" s="1428"/>
      <c r="L49" s="1429"/>
      <c r="P49" s="2322"/>
      <c r="Q49" s="1515"/>
      <c r="R49" s="421"/>
      <c r="S49" s="1343"/>
      <c r="T49" s="430" t="s">
        <v>431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255</v>
      </c>
      <c r="B50" s="1428" t="s">
        <v>256</v>
      </c>
      <c r="C50" s="1428" t="s">
        <v>257</v>
      </c>
      <c r="D50" s="1428" t="s">
        <v>517</v>
      </c>
      <c r="E50" s="2324"/>
      <c r="F50" s="2324"/>
      <c r="G50" s="2324"/>
      <c r="H50" s="2323"/>
      <c r="I50" s="1428"/>
      <c r="J50" s="1428"/>
      <c r="K50" s="1428"/>
      <c r="L50" s="1429"/>
      <c r="M50" s="1430"/>
      <c r="N50" s="1430"/>
      <c r="O50" s="602"/>
      <c r="P50" s="425"/>
      <c r="Q50" s="440"/>
      <c r="R50" s="420"/>
      <c r="S50" s="1343"/>
      <c r="T50" s="437" t="s">
        <v>508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3" customFormat="1" customHeight="1" ht="0">
      <c r="A51" s="1408" t="s">
        <v>255</v>
      </c>
      <c r="B51" s="1408" t="s">
        <v>256</v>
      </c>
      <c r="C51" s="1379"/>
      <c r="D51" s="1379"/>
      <c r="E51" s="2324"/>
      <c r="F51" s="2323"/>
      <c r="G51" s="1379"/>
      <c r="H51" s="1379"/>
      <c r="I51" s="1379"/>
      <c r="J51" s="1379"/>
      <c r="K51" s="1379"/>
      <c r="L51" s="1523"/>
      <c r="M51" s="1386"/>
      <c r="N51" s="1386"/>
      <c r="P51" s="1381"/>
      <c r="Q51" s="1382"/>
      <c r="R51" s="1381"/>
      <c r="S51" s="1387"/>
      <c r="T51" s="1390" t="s">
        <v>166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3" customFormat="1" customHeight="1" ht="0">
      <c r="A52" s="1408" t="s">
        <v>255</v>
      </c>
      <c r="B52" s="1408"/>
      <c r="C52" s="1408"/>
      <c r="D52" s="1408"/>
      <c r="E52" s="2323"/>
      <c r="F52" s="1408"/>
      <c r="G52" s="1408"/>
      <c r="H52" s="1408"/>
      <c r="I52" s="1408"/>
      <c r="J52" s="1408"/>
      <c r="K52" s="1408"/>
      <c r="L52" s="1411"/>
      <c r="M52" s="1386"/>
      <c r="N52" s="1386"/>
      <c r="O52" s="583"/>
      <c r="P52" s="445"/>
      <c r="Q52" s="1409"/>
      <c r="R52" s="445"/>
      <c r="S52" s="1387"/>
      <c r="T52" s="1390" t="s">
        <v>167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3"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168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64741-6193-903B-38C4-928C2F3705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4.140625" hidden="1" customWidth="1"/>
    <col min="10" max="10" style="4903" width="9.8515625" hidden="1" customWidth="1"/>
    <col min="11" max="11" style="4903" width="14.71093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5.00390625" customWidth="1"/>
    <col min="21" max="21" style="4921" width="0.140625" customWidth="1"/>
    <col min="22" max="24" style="4921" width="24.7109375" hidden="1" customWidth="1"/>
    <col min="25" max="25" style="4921" width="11.7109375" hidden="1" customWidth="1"/>
    <col min="26" max="26" style="4921" width="3.7109375" hidden="1" customWidth="1"/>
    <col min="27" max="27" style="4921" width="11.7109375" hidden="1" customWidth="1"/>
    <col min="28" max="28" style="4921" width="8.57421875" hidden="1" customWidth="1"/>
    <col min="29" max="29" style="4921" width="24.7109375" customWidth="1"/>
    <col min="30" max="31" style="4921" width="24.00390625" customWidth="1"/>
    <col min="32" max="32" style="4921" width="11.00390625" customWidth="1"/>
    <col min="33" max="33" style="4921" width="3.7109375" customWidth="1"/>
    <col min="34" max="34" style="4921" width="11.00390625" customWidth="1"/>
    <col min="35" max="35" style="4921" width="8.57421875" hidden="1" customWidth="1"/>
    <col min="36" max="36" style="4921" width="4.00390625" customWidth="1"/>
    <col min="37" max="37" style="4921" width="115.00390625" customWidth="1"/>
    <col min="38" max="42" style="4423" width="10.00390625" customWidth="1"/>
    <col min="43" max="43" style="4921"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416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501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502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503</v>
      </c>
      <c r="U5" s="365"/>
      <c r="V5" s="2415"/>
      <c r="W5" s="2416"/>
      <c r="X5" s="2416"/>
      <c r="Y5" s="2416"/>
      <c r="Z5" s="2416"/>
      <c r="AA5" s="2416"/>
      <c r="AB5" s="2417"/>
      <c r="AC5" s="2418"/>
      <c r="AD5" s="2419"/>
      <c r="AE5" s="2419"/>
      <c r="AF5" s="2419"/>
      <c r="AG5" s="2419"/>
      <c r="AH5" s="2419"/>
      <c r="AI5" s="2419"/>
      <c r="AJ5" s="2420"/>
      <c r="AK5" s="1323" t="s">
        <v>504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425</v>
      </c>
      <c r="P6" s="2322"/>
      <c r="Q6" s="2322">
        <v>1</v>
      </c>
      <c r="R6" s="422"/>
      <c r="S6" s="1522">
        <f>$J6</f>
      </c>
      <c r="T6" s="351" t="s">
        <v>426</v>
      </c>
      <c r="U6" s="365"/>
      <c r="V6" s="2310"/>
      <c r="W6" s="2311"/>
      <c r="X6" s="2311"/>
      <c r="Y6" s="2311"/>
      <c r="Z6" s="2311"/>
      <c r="AA6" s="2311"/>
      <c r="AB6" s="2312"/>
      <c r="AC6" s="2310"/>
      <c r="AD6" s="2311"/>
      <c r="AE6" s="2311"/>
      <c r="AF6" s="2311"/>
      <c r="AG6" s="2311"/>
      <c r="AH6" s="2311"/>
      <c r="AI6" s="2311"/>
      <c r="AJ6" s="2312"/>
      <c r="AK6" s="1372" t="s">
        <v>505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506</v>
      </c>
      <c r="U9" s="432"/>
      <c r="V9" s="432"/>
      <c r="W9" s="432"/>
      <c r="X9" s="432"/>
      <c r="Y9" s="432"/>
      <c r="Z9" s="432"/>
      <c r="AA9" s="432"/>
      <c r="AB9" s="432"/>
      <c r="AC9" s="432"/>
      <c r="AD9" s="432"/>
      <c r="AE9" s="432"/>
      <c r="AF9" s="432"/>
      <c r="AG9" s="432"/>
      <c r="AH9" s="432"/>
      <c r="AI9" s="432"/>
      <c r="AJ9" s="432"/>
      <c r="AK9" s="1323" t="s">
        <v>507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431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3"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166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3"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903" customFormat="1" customHeight="1" ht="22.5" hidden="1">
      <c r="L18" s="1512"/>
      <c r="M18" s="1427"/>
      <c r="N18" s="1427"/>
      <c r="O18" s="1432" t="s">
        <v>433</v>
      </c>
      <c r="P18" s="1427"/>
      <c r="Q18" s="1436"/>
      <c r="R18" s="1436"/>
      <c r="S18" s="794"/>
      <c r="Y18" s="1432"/>
      <c r="AA18" s="1432"/>
      <c r="AB18" s="1431"/>
      <c r="AF18" s="1432"/>
      <c r="AH18" s="1432"/>
      <c r="AI18" s="1431"/>
      <c r="AL18" s="576"/>
      <c r="AM18" s="576"/>
      <c r="AN18" s="576"/>
      <c r="AO18" s="576"/>
      <c r="AP18" s="576"/>
      <c r="AQ18" s="1225">
        <v>0</v>
      </c>
    </row>
    <row s="4903" customFormat="1" customHeight="1" ht="14.25" hidden="1">
      <c r="L19" s="1512"/>
      <c r="M19" s="1427"/>
      <c r="N19" s="1427"/>
      <c r="O19" s="1427"/>
      <c r="P19" s="1427"/>
      <c r="Q19" s="1436"/>
      <c r="R19" s="1436"/>
      <c r="S19" s="794"/>
      <c r="AB19" s="1431"/>
      <c r="AI19" s="1431"/>
      <c r="AL19" s="576"/>
      <c r="AM19" s="576"/>
      <c r="AN19" s="576"/>
      <c r="AO19" s="576"/>
      <c r="AP19" s="576"/>
      <c r="AQ19" s="1225">
        <v>0</v>
      </c>
    </row>
    <row s="4903" customFormat="1" customHeight="1" ht="12" hidden="1">
      <c r="L20" s="1512"/>
      <c r="M20" s="1427"/>
      <c r="N20" s="1427"/>
      <c r="O20" s="1429" t="s">
        <v>434</v>
      </c>
      <c r="P20" s="1427"/>
      <c r="Q20" s="1507"/>
      <c r="R20" s="1507"/>
      <c r="S20" s="794"/>
      <c r="T20" s="1225" t="s">
        <v>435</v>
      </c>
      <c r="Z20" s="251" t="s">
        <v>436</v>
      </c>
      <c r="AB20" s="251" t="s">
        <v>437</v>
      </c>
      <c r="AC20" s="1225" t="s">
        <v>435</v>
      </c>
      <c r="AG20" s="251" t="s">
        <v>438</v>
      </c>
      <c r="AI20" s="251" t="s">
        <v>437</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5"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485" customFormat="1" customHeight="1" ht="18.75">
      <c r="A28" s="1433"/>
      <c r="B28" s="1433"/>
      <c r="C28" s="1433"/>
      <c r="D28" s="1433"/>
      <c r="E28" s="1433"/>
      <c r="F28" s="1433"/>
      <c r="G28" s="1433"/>
      <c r="H28" s="1433"/>
      <c r="I28" s="1433"/>
      <c r="J28" s="1433"/>
      <c r="K28" s="1433"/>
      <c r="L28" s="1434"/>
      <c r="M28" s="1433"/>
      <c r="N28" s="1433"/>
      <c r="O28" s="1433"/>
      <c r="S28" s="2315" t="s">
        <v>439</v>
      </c>
      <c r="T28" s="2315"/>
      <c r="U28" s="1437"/>
      <c r="V28" s="2329" t="str">
        <f>IF(TITLE_DATE_PR_CHANGE="",IF(TITLE_DATE_PR="","",TITLE_DATE_PR),TITLE_DATE_PR_CHANGE)</f>
        <v>45643.434652777774</v>
      </c>
      <c r="W28" s="2329"/>
      <c r="X28" s="2329"/>
      <c r="Y28" s="2329"/>
      <c r="Z28" s="2329"/>
      <c r="AA28" s="2329"/>
      <c r="AB28" s="391"/>
      <c r="AC28" s="2329" t="str">
        <f>IF(TITLE_DATE_PR_CHANGE="",IF(TITLE_DATE_PR="","",TITLE_DATE_PR),TITLE_DATE_PR_CHANGE)</f>
        <v>45643.434652777774</v>
      </c>
      <c r="AD28" s="2329"/>
      <c r="AE28" s="2329"/>
      <c r="AF28" s="2329"/>
      <c r="AG28" s="2329"/>
      <c r="AH28" s="2329"/>
      <c r="AI28" s="391"/>
      <c r="AJ28" s="391"/>
      <c r="AK28" s="345"/>
      <c r="AL28" s="433"/>
      <c r="AM28" s="433"/>
      <c r="AN28" s="433"/>
      <c r="AO28" s="433"/>
      <c r="AP28" s="433"/>
      <c r="AQ28" s="483">
        <v>0</v>
      </c>
    </row>
    <row s="5485" customFormat="1" customHeight="1" ht="18.75">
      <c r="A29" s="1433"/>
      <c r="B29" s="1433"/>
      <c r="C29" s="1433"/>
      <c r="D29" s="1433"/>
      <c r="E29" s="1433"/>
      <c r="F29" s="1433"/>
      <c r="G29" s="1433"/>
      <c r="H29" s="1433"/>
      <c r="I29" s="1433"/>
      <c r="J29" s="1433"/>
      <c r="K29" s="1433"/>
      <c r="L29" s="1434"/>
      <c r="M29" s="1433"/>
      <c r="N29" s="1433"/>
      <c r="O29" s="1433"/>
      <c r="S29" s="2315" t="s">
        <v>440</v>
      </c>
      <c r="T29" s="2315"/>
      <c r="U29" s="1437"/>
      <c r="V29" s="2316" t="str">
        <f>IF(TITLE_NUMBER_PR_CHANGE="",IF(TITLE_NUMBER_PR="","",TITLE_NUMBER_PR),TITLE_NUMBER_PR_CHANGE)</f>
        <v>71/2</v>
      </c>
      <c r="W29" s="2316"/>
      <c r="X29" s="2316"/>
      <c r="Y29" s="2316"/>
      <c r="Z29" s="2316"/>
      <c r="AA29" s="2316"/>
      <c r="AB29" s="391"/>
      <c r="AC29" s="2316" t="str">
        <f>IF(TITLE_NUMBER_PR_CHANGE="",IF(TITLE_NUMBER_PR="","",TITLE_NUMBER_PR),TITLE_NUMBER_PR_CHANGE)</f>
        <v>71/2</v>
      </c>
      <c r="AD29" s="2316"/>
      <c r="AE29" s="2316"/>
      <c r="AF29" s="2316"/>
      <c r="AG29" s="2316"/>
      <c r="AH29" s="2316"/>
      <c r="AI29" s="391"/>
      <c r="AJ29" s="391"/>
      <c r="AK29" s="345"/>
      <c r="AL29" s="433"/>
      <c r="AM29" s="433"/>
      <c r="AN29" s="433"/>
      <c r="AO29" s="433"/>
      <c r="AP29" s="433"/>
      <c r="AQ29" s="483">
        <v>0</v>
      </c>
    </row>
    <row s="5485"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Официальный интернет-портал правовой информации Ставропольского края</v>
      </c>
      <c r="W30" s="2316"/>
      <c r="X30" s="2316"/>
      <c r="Y30" s="2316"/>
      <c r="Z30" s="2316"/>
      <c r="AA30" s="2316"/>
      <c r="AB30" s="391"/>
      <c r="AC30" s="2316" t="str">
        <f>IF(TITLE_IST_PUB_CHANGE="",IF(TITLE_IST_PUB="","",TITLE_IST_PUB),TITLE_IST_PUB_CHANGE)</f>
        <v>Официальный интернет-портал правовой информации Ставропольского края</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5" customFormat="1" customHeight="1" ht="18.75" hidden="1">
      <c r="A32" s="1433"/>
      <c r="B32" s="1433"/>
      <c r="C32" s="1433"/>
      <c r="D32" s="1433"/>
      <c r="E32" s="1433"/>
      <c r="F32" s="1433"/>
      <c r="G32" s="1433"/>
      <c r="H32" s="1433"/>
      <c r="I32" s="1433"/>
      <c r="J32" s="1433"/>
      <c r="K32" s="1433"/>
      <c r="L32" s="1434"/>
      <c r="M32" s="1433"/>
      <c r="N32" s="1433"/>
      <c r="O32" s="1433"/>
      <c r="S32" s="2315" t="s">
        <v>441</v>
      </c>
      <c r="T32" s="2315"/>
      <c r="U32" s="1437"/>
      <c r="V32" s="2329" t="str">
        <f>IF(TITLE_DATE_PR_CHANGE="",IF(TITLE_DATE_PR="","",TITLE_DATE_PR),TITLE_DATE_PR_CHANGE)</f>
        <v>45643.434652777774</v>
      </c>
      <c r="W32" s="2329"/>
      <c r="X32" s="2329"/>
      <c r="Y32" s="2329"/>
      <c r="Z32" s="2329"/>
      <c r="AA32" s="2329"/>
      <c r="AB32" s="391"/>
      <c r="AC32" s="2329" t="str">
        <f>IF(TITLE_DATE_PR_CHANGE="",IF(TITLE_DATE_PR="","",TITLE_DATE_PR),TITLE_DATE_PR_CHANGE)</f>
        <v>45643.434652777774</v>
      </c>
      <c r="AD32" s="2329"/>
      <c r="AE32" s="2329"/>
      <c r="AF32" s="2329"/>
      <c r="AG32" s="2329"/>
      <c r="AH32" s="2329"/>
      <c r="AI32" s="391"/>
      <c r="AJ32" s="391"/>
      <c r="AK32" s="345"/>
      <c r="AL32" s="433"/>
      <c r="AM32" s="433"/>
      <c r="AN32" s="433"/>
      <c r="AO32" s="433"/>
      <c r="AP32" s="433"/>
      <c r="AQ32" s="483">
        <v>0</v>
      </c>
    </row>
    <row s="5485" customFormat="1" customHeight="1" ht="18.75" hidden="1">
      <c r="A33" s="1433"/>
      <c r="B33" s="1433"/>
      <c r="C33" s="1433"/>
      <c r="D33" s="1433"/>
      <c r="E33" s="1433"/>
      <c r="F33" s="1433"/>
      <c r="G33" s="1433"/>
      <c r="H33" s="1433"/>
      <c r="I33" s="1433"/>
      <c r="J33" s="1433"/>
      <c r="K33" s="1433"/>
      <c r="L33" s="1434"/>
      <c r="M33" s="1433"/>
      <c r="N33" s="1433"/>
      <c r="O33" s="1433"/>
      <c r="S33" s="2315" t="s">
        <v>442</v>
      </c>
      <c r="T33" s="2315"/>
      <c r="U33" s="1437"/>
      <c r="V33" s="2316" t="str">
        <f>IF(TITLE_NUMBER_PR_CHANGE="",IF(TITLE_NUMBER_PR="","",TITLE_NUMBER_PR),TITLE_NUMBER_PR_CHANGE)</f>
        <v>71/2</v>
      </c>
      <c r="W33" s="2316"/>
      <c r="X33" s="2316"/>
      <c r="Y33" s="2316"/>
      <c r="Z33" s="2316"/>
      <c r="AA33" s="2316"/>
      <c r="AB33" s="391"/>
      <c r="AC33" s="2316" t="str">
        <f>IF(TITLE_NUMBER_PR_CHANGE="",IF(TITLE_NUMBER_PR="","",TITLE_NUMBER_PR),TITLE_NUMBER_PR_CHANGE)</f>
        <v>71/2</v>
      </c>
      <c r="AD33" s="2316"/>
      <c r="AE33" s="2316"/>
      <c r="AF33" s="2316"/>
      <c r="AG33" s="2316"/>
      <c r="AH33" s="2316"/>
      <c r="AI33" s="391"/>
      <c r="AJ33" s="391"/>
      <c r="AK33" s="345"/>
      <c r="AL33" s="433"/>
      <c r="AM33" s="433"/>
      <c r="AN33" s="433"/>
      <c r="AO33" s="433"/>
      <c r="AP33" s="433"/>
      <c r="AQ33" s="483">
        <v>0</v>
      </c>
    </row>
    <row s="5485"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443</v>
      </c>
      <c r="AC34" s="391"/>
      <c r="AD34" s="391"/>
      <c r="AE34" s="391"/>
      <c r="AF34" s="391"/>
      <c r="AG34" s="391"/>
      <c r="AH34" s="391"/>
      <c r="AI34" s="343" t="s">
        <v>443</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319</v>
      </c>
      <c r="T36" s="2192"/>
      <c r="U36" s="2192"/>
      <c r="V36" s="2192"/>
      <c r="W36" s="2192"/>
      <c r="X36" s="2192"/>
      <c r="Y36" s="2192"/>
      <c r="Z36" s="2192"/>
      <c r="AA36" s="2192"/>
      <c r="AB36" s="2192"/>
      <c r="AC36" s="2192"/>
      <c r="AD36" s="2192"/>
      <c r="AE36" s="2192"/>
      <c r="AF36" s="2192"/>
      <c r="AG36" s="2192"/>
      <c r="AH36" s="2192"/>
      <c r="AI36" s="2192"/>
      <c r="AJ36" s="2192"/>
      <c r="AK36" s="2192" t="s">
        <v>320</v>
      </c>
      <c r="AQ36" s="1220">
        <v>14</v>
      </c>
    </row>
    <row customHeight="1" ht="14.699999999999998">
      <c r="Q37" s="441"/>
      <c r="R37" s="441"/>
      <c r="S37" s="2338" t="s">
        <v>91</v>
      </c>
      <c r="T37" s="2274" t="s">
        <v>444</v>
      </c>
      <c r="U37" s="366"/>
      <c r="V37" s="2339" t="s">
        <v>445</v>
      </c>
      <c r="W37" s="2340"/>
      <c r="X37" s="2340"/>
      <c r="Y37" s="2340"/>
      <c r="Z37" s="2340"/>
      <c r="AA37" s="2341"/>
      <c r="AB37" s="2342" t="s">
        <v>446</v>
      </c>
      <c r="AC37" s="2339" t="s">
        <v>445</v>
      </c>
      <c r="AD37" s="2340"/>
      <c r="AE37" s="2340"/>
      <c r="AF37" s="2340"/>
      <c r="AG37" s="2340"/>
      <c r="AH37" s="2341"/>
      <c r="AI37" s="2342" t="s">
        <v>447</v>
      </c>
      <c r="AJ37" s="2345" t="s">
        <v>448</v>
      </c>
      <c r="AK37" s="2192"/>
      <c r="AQ37" s="1220">
        <v>14</v>
      </c>
    </row>
    <row customHeight="1" ht="35.699999999999996">
      <c r="Q38" s="441"/>
      <c r="R38" s="441"/>
      <c r="S38" s="2338"/>
      <c r="T38" s="2274"/>
      <c r="U38" s="1096"/>
      <c r="V38" s="1517" t="s">
        <v>509</v>
      </c>
      <c r="W38" s="2327" t="s">
        <v>451</v>
      </c>
      <c r="X38" s="2328"/>
      <c r="Y38" s="2327" t="s">
        <v>452</v>
      </c>
      <c r="Z38" s="2334"/>
      <c r="AA38" s="2328"/>
      <c r="AB38" s="2343"/>
      <c r="AC38" s="1517" t="s">
        <v>509</v>
      </c>
      <c r="AD38" s="2327" t="s">
        <v>451</v>
      </c>
      <c r="AE38" s="2328"/>
      <c r="AF38" s="2327" t="s">
        <v>452</v>
      </c>
      <c r="AG38" s="2334"/>
      <c r="AH38" s="2328"/>
      <c r="AI38" s="2343"/>
      <c r="AJ38" s="2346"/>
      <c r="AK38" s="2192"/>
      <c r="AQ38" s="1220">
        <v>34</v>
      </c>
    </row>
    <row customHeight="1" ht="35.699999999999996">
      <c r="A39" s="1435"/>
      <c r="B39" s="1435" t="s">
        <v>138</v>
      </c>
      <c r="C39" s="1435" t="s">
        <v>139</v>
      </c>
      <c r="D39" s="1435" t="s">
        <v>140</v>
      </c>
      <c r="E39" s="1429" t="s">
        <v>453</v>
      </c>
      <c r="F39" s="1429" t="s">
        <v>454</v>
      </c>
      <c r="G39" s="1429" t="s">
        <v>455</v>
      </c>
      <c r="H39" s="1429"/>
      <c r="I39" s="1429" t="s">
        <v>510</v>
      </c>
      <c r="J39" s="1429" t="s">
        <v>458</v>
      </c>
      <c r="K39" s="1429" t="s">
        <v>511</v>
      </c>
      <c r="L39" s="1429" t="s">
        <v>434</v>
      </c>
      <c r="Q39" s="441"/>
      <c r="R39" s="441"/>
      <c r="S39" s="2338"/>
      <c r="T39" s="2274"/>
      <c r="U39" s="367"/>
      <c r="V39" s="1517" t="s">
        <v>512</v>
      </c>
      <c r="W39" s="1287" t="s">
        <v>513</v>
      </c>
      <c r="X39" s="1287" t="s">
        <v>514</v>
      </c>
      <c r="Y39" s="1520" t="s">
        <v>462</v>
      </c>
      <c r="Z39" s="2335" t="s">
        <v>463</v>
      </c>
      <c r="AA39" s="2336"/>
      <c r="AB39" s="2344"/>
      <c r="AC39" s="1517" t="s">
        <v>512</v>
      </c>
      <c r="AD39" s="1287" t="s">
        <v>513</v>
      </c>
      <c r="AE39" s="1287" t="s">
        <v>514</v>
      </c>
      <c r="AF39" s="1520" t="s">
        <v>462</v>
      </c>
      <c r="AG39" s="2335" t="s">
        <v>463</v>
      </c>
      <c r="AH39" s="2336"/>
      <c r="AI39" s="2344"/>
      <c r="AJ39" s="2347"/>
      <c r="AK39" s="2192"/>
      <c r="AQ39" s="1220">
        <v>34</v>
      </c>
    </row>
    <row s="4094"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112</v>
      </c>
      <c r="T40" s="1320" t="s">
        <v>113</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260</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260</v>
      </c>
      <c r="B42" s="1428" t="s">
        <v>261</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416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417</v>
      </c>
      <c r="AM42" s="565"/>
      <c r="AN42" s="565" t="str">
        <f>IF(T42="","",T42)</f>
        <v>Территория действия тарифа</v>
      </c>
      <c r="AO42" s="565"/>
      <c r="AP42" s="565"/>
      <c r="AQ42" s="1220">
        <v>23</v>
      </c>
    </row>
    <row customHeight="1" ht="24">
      <c r="A43" s="1428" t="s">
        <v>260</v>
      </c>
      <c r="B43" s="1428" t="s">
        <v>261</v>
      </c>
      <c r="C43" s="1428" t="s">
        <v>262</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501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502</v>
      </c>
      <c r="AM43" s="565"/>
      <c r="AN43" s="565" t="str">
        <f>IF(T43="","",T43)</f>
        <v>Наименование централизованной системы холодного водоснабжения</v>
      </c>
      <c r="AO43" s="565"/>
      <c r="AP43" s="565"/>
      <c r="AQ43" s="1220">
        <v>23</v>
      </c>
    </row>
    <row customHeight="1" ht="24">
      <c r="A44" s="1428" t="s">
        <v>260</v>
      </c>
      <c r="B44" s="1428" t="s">
        <v>261</v>
      </c>
      <c r="C44" s="1428" t="s">
        <v>262</v>
      </c>
      <c r="D44" s="1428" t="s">
        <v>518</v>
      </c>
      <c r="E44" s="2324"/>
      <c r="F44" s="2324"/>
      <c r="G44" s="2324"/>
      <c r="H44" s="2324"/>
      <c r="I44" s="2321" t="str">
        <f>S43&amp;".1"</f>
        <v>...1</v>
      </c>
      <c r="J44" s="1428"/>
      <c r="K44" s="1428"/>
      <c r="L44" s="1429"/>
      <c r="P44" s="2322">
        <v>1</v>
      </c>
      <c r="Q44" s="1515"/>
      <c r="R44" s="421"/>
      <c r="S44" s="1522" t="str">
        <f>$I44</f>
        <v>...1</v>
      </c>
      <c r="T44" s="350" t="s">
        <v>503</v>
      </c>
      <c r="U44" s="365"/>
      <c r="V44" s="2415"/>
      <c r="W44" s="2416"/>
      <c r="X44" s="2416"/>
      <c r="Y44" s="2416"/>
      <c r="Z44" s="2416"/>
      <c r="AA44" s="2416"/>
      <c r="AB44" s="2417"/>
      <c r="AC44" s="2418"/>
      <c r="AD44" s="2419"/>
      <c r="AE44" s="2419"/>
      <c r="AF44" s="2419"/>
      <c r="AG44" s="2419"/>
      <c r="AH44" s="2419"/>
      <c r="AI44" s="2419"/>
      <c r="AJ44" s="2420"/>
      <c r="AK44" s="1323" t="s">
        <v>504</v>
      </c>
      <c r="AM44" s="565"/>
      <c r="AN44" s="565" t="str">
        <f>IF(T44="","",T44)</f>
        <v>Наименование признака дифференциации</v>
      </c>
      <c r="AO44" s="565"/>
      <c r="AP44" s="565"/>
      <c r="AQ44" s="1220">
        <v>23</v>
      </c>
    </row>
    <row customHeight="1" ht="24">
      <c r="A45" s="1428" t="s">
        <v>260</v>
      </c>
      <c r="B45" s="1428" t="s">
        <v>261</v>
      </c>
      <c r="C45" s="1428" t="s">
        <v>262</v>
      </c>
      <c r="D45" s="1428" t="s">
        <v>518</v>
      </c>
      <c r="E45" s="2324"/>
      <c r="F45" s="2324"/>
      <c r="G45" s="2324"/>
      <c r="H45" s="2324"/>
      <c r="I45" s="2351"/>
      <c r="J45" s="2321" t="str">
        <f>I44&amp;".1"</f>
        <v>...1.1</v>
      </c>
      <c r="K45" s="1428"/>
      <c r="L45" s="1429" t="s">
        <v>425</v>
      </c>
      <c r="P45" s="2322"/>
      <c r="Q45" s="2322">
        <v>1</v>
      </c>
      <c r="R45" s="422"/>
      <c r="S45" s="1522" t="str">
        <f>$J45</f>
        <v>...1.1</v>
      </c>
      <c r="T45" s="351" t="s">
        <v>426</v>
      </c>
      <c r="U45" s="365"/>
      <c r="V45" s="2310"/>
      <c r="W45" s="2311"/>
      <c r="X45" s="2311"/>
      <c r="Y45" s="2311"/>
      <c r="Z45" s="2311"/>
      <c r="AA45" s="2311"/>
      <c r="AB45" s="2312"/>
      <c r="AC45" s="2310"/>
      <c r="AD45" s="2311"/>
      <c r="AE45" s="2311"/>
      <c r="AF45" s="2311"/>
      <c r="AG45" s="2311"/>
      <c r="AH45" s="2311"/>
      <c r="AI45" s="2311"/>
      <c r="AJ45" s="2312"/>
      <c r="AK45" s="1372" t="s">
        <v>505</v>
      </c>
      <c r="AM45" s="565"/>
      <c r="AN45" s="565" t="str">
        <f>IF(T45="","",T45)</f>
        <v>Группа потребителей</v>
      </c>
      <c r="AO45" s="565"/>
      <c r="AP45" s="565"/>
      <c r="AQ45" s="1220">
        <v>23</v>
      </c>
    </row>
    <row customHeight="1" ht="24">
      <c r="A46" s="1428" t="s">
        <v>260</v>
      </c>
      <c r="B46" s="1428" t="s">
        <v>261</v>
      </c>
      <c r="C46" s="1428" t="s">
        <v>262</v>
      </c>
      <c r="D46" s="1428" t="s">
        <v>518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64</v>
      </c>
      <c r="AA46" s="2330"/>
      <c r="AB46" s="2172" t="s">
        <v>64</v>
      </c>
      <c r="AC46" s="816"/>
      <c r="AD46" s="816"/>
      <c r="AE46" s="1322"/>
      <c r="AF46" s="2330"/>
      <c r="AG46" s="2172" t="s">
        <v>64</v>
      </c>
      <c r="AH46" s="2352"/>
      <c r="AI46" s="2172" t="s">
        <v>64</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260</v>
      </c>
      <c r="B47" s="1428" t="s">
        <v>261</v>
      </c>
      <c r="C47" s="1428" t="s">
        <v>262</v>
      </c>
      <c r="D47" s="1428" t="s">
        <v>518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260</v>
      </c>
      <c r="B48" s="1428" t="s">
        <v>261</v>
      </c>
      <c r="C48" s="1428" t="s">
        <v>262</v>
      </c>
      <c r="D48" s="1428" t="s">
        <v>518</v>
      </c>
      <c r="E48" s="2324"/>
      <c r="F48" s="2324"/>
      <c r="G48" s="2324"/>
      <c r="H48" s="2324"/>
      <c r="I48" s="2351"/>
      <c r="J48" s="2321"/>
      <c r="K48" s="1428"/>
      <c r="L48" s="1429"/>
      <c r="P48" s="2322"/>
      <c r="Q48" s="2322"/>
      <c r="R48" s="421"/>
      <c r="S48" s="1343"/>
      <c r="T48" s="352" t="s">
        <v>506</v>
      </c>
      <c r="U48" s="432"/>
      <c r="V48" s="432"/>
      <c r="W48" s="432"/>
      <c r="X48" s="432"/>
      <c r="Y48" s="432"/>
      <c r="Z48" s="432"/>
      <c r="AA48" s="432"/>
      <c r="AB48" s="432"/>
      <c r="AC48" s="432"/>
      <c r="AD48" s="432"/>
      <c r="AE48" s="432"/>
      <c r="AF48" s="432"/>
      <c r="AG48" s="432"/>
      <c r="AH48" s="432"/>
      <c r="AI48" s="432"/>
      <c r="AJ48" s="432"/>
      <c r="AK48" s="1323" t="s">
        <v>507</v>
      </c>
      <c r="AM48" s="565"/>
      <c r="AN48" s="565" t="str">
        <f>IF(T48="","",T48)</f>
        <v>Добавить значение признака дифференциации</v>
      </c>
      <c r="AO48" s="565"/>
      <c r="AP48" s="565"/>
      <c r="AQ48" s="1220">
        <v>20</v>
      </c>
    </row>
    <row customHeight="1" ht="22.049999999999997">
      <c r="A49" s="1428" t="s">
        <v>260</v>
      </c>
      <c r="B49" s="1428" t="s">
        <v>261</v>
      </c>
      <c r="C49" s="1428" t="s">
        <v>262</v>
      </c>
      <c r="D49" s="1428" t="s">
        <v>518</v>
      </c>
      <c r="E49" s="2324"/>
      <c r="F49" s="2324"/>
      <c r="G49" s="2324"/>
      <c r="H49" s="2324"/>
      <c r="I49" s="2321"/>
      <c r="J49" s="1428"/>
      <c r="K49" s="1428"/>
      <c r="L49" s="1429"/>
      <c r="P49" s="2322"/>
      <c r="Q49" s="1515"/>
      <c r="R49" s="421"/>
      <c r="S49" s="1343"/>
      <c r="T49" s="430" t="s">
        <v>431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260</v>
      </c>
      <c r="B50" s="1428" t="s">
        <v>261</v>
      </c>
      <c r="C50" s="1428" t="s">
        <v>262</v>
      </c>
      <c r="D50" s="1428" t="s">
        <v>518</v>
      </c>
      <c r="E50" s="2324"/>
      <c r="F50" s="2324"/>
      <c r="G50" s="2324"/>
      <c r="H50" s="2323"/>
      <c r="I50" s="1428"/>
      <c r="J50" s="1428"/>
      <c r="K50" s="1428"/>
      <c r="L50" s="1429"/>
      <c r="M50" s="1430"/>
      <c r="N50" s="1430"/>
      <c r="O50" s="602"/>
      <c r="P50" s="425"/>
      <c r="Q50" s="440"/>
      <c r="R50" s="420"/>
      <c r="S50" s="1343"/>
      <c r="T50" s="437" t="s">
        <v>508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3" customFormat="1" customHeight="1" ht="0">
      <c r="A51" s="1408" t="s">
        <v>260</v>
      </c>
      <c r="B51" s="1408" t="s">
        <v>261</v>
      </c>
      <c r="C51" s="1379"/>
      <c r="D51" s="1379"/>
      <c r="E51" s="2324"/>
      <c r="F51" s="2323"/>
      <c r="G51" s="1379"/>
      <c r="H51" s="1379"/>
      <c r="I51" s="1379"/>
      <c r="J51" s="1379"/>
      <c r="K51" s="1379"/>
      <c r="L51" s="1523"/>
      <c r="M51" s="1386"/>
      <c r="N51" s="1386"/>
      <c r="P51" s="1381"/>
      <c r="Q51" s="1382"/>
      <c r="R51" s="1381"/>
      <c r="S51" s="1387"/>
      <c r="T51" s="1390" t="s">
        <v>166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3" customFormat="1" customHeight="1" ht="0">
      <c r="A52" s="1408" t="s">
        <v>260</v>
      </c>
      <c r="B52" s="1408"/>
      <c r="C52" s="1408"/>
      <c r="D52" s="1408"/>
      <c r="E52" s="2323"/>
      <c r="F52" s="1408"/>
      <c r="G52" s="1408"/>
      <c r="H52" s="1408"/>
      <c r="I52" s="1408"/>
      <c r="J52" s="1408"/>
      <c r="K52" s="1408"/>
      <c r="L52" s="1411"/>
      <c r="M52" s="1386"/>
      <c r="N52" s="1386"/>
      <c r="O52" s="583"/>
      <c r="P52" s="445"/>
      <c r="Q52" s="1409"/>
      <c r="R52" s="445"/>
      <c r="S52" s="1387"/>
      <c r="T52" s="1390" t="s">
        <v>167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3"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168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7F1B7-F626-B797-EEC8-A765CA3D13B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921" width="10.140625" hidden="1" customWidth="1"/>
    <col min="4" max="4" style="4921" width="11.8515625" hidden="1" customWidth="1"/>
    <col min="5" max="11" style="4921" width="10.140625" hidden="1" customWidth="1"/>
    <col min="12" max="12" style="5606" width="10.140625" hidden="1" customWidth="1"/>
    <col min="13" max="15" style="5625" width="10.140625" hidden="1" customWidth="1"/>
    <col min="16" max="16" style="4107" width="3.00390625" customWidth="1"/>
    <col min="17" max="17" style="3716" width="3.00390625" customWidth="1"/>
    <col min="18" max="18" style="4943" width="3.00390625" customWidth="1"/>
    <col min="19" max="19" style="5599" width="12.00390625" customWidth="1"/>
    <col min="20" max="20" style="4921" width="31.00390625" customWidth="1"/>
    <col min="21" max="21" style="4921" width="0.140625" customWidth="1"/>
    <col min="22" max="23" style="4921" width="21.7109375" hidden="1" customWidth="1"/>
    <col min="24" max="24" style="4921" width="11.7109375" hidden="1" customWidth="1"/>
    <col min="25" max="25" style="4921" width="3.7109375" hidden="1" customWidth="1"/>
    <col min="26" max="26" style="4921" width="11.7109375" hidden="1" customWidth="1"/>
    <col min="27" max="27" style="4921" width="8.57421875" hidden="1" customWidth="1"/>
    <col min="28" max="28" style="4921" width="27.00390625" customWidth="1"/>
    <col min="29" max="29" style="4921" width="24.57421875" customWidth="1"/>
    <col min="30" max="31" style="4921" width="21.00390625" customWidth="1"/>
    <col min="32" max="32" style="4921" width="11.00390625" customWidth="1"/>
    <col min="33" max="33" style="4921" width="3.7109375" customWidth="1"/>
    <col min="34" max="34" style="4921" width="11.00390625" customWidth="1"/>
    <col min="35" max="35" style="4921" width="8.57421875" hidden="1" customWidth="1"/>
    <col min="36" max="36" style="4921" width="4.00390625" customWidth="1"/>
    <col min="37" max="37" style="4921" width="115.00390625" customWidth="1"/>
    <col min="38" max="42" style="4423" width="10.00390625" customWidth="1"/>
    <col min="43" max="43" style="4921"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126</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415</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416</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417</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418</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419</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420</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421</v>
      </c>
      <c r="AM5" s="1689"/>
      <c r="AN5" s="1689" t="str">
        <f>IF(T5="","",T5)</f>
        <v>Источник тепловой энергии  </v>
      </c>
      <c r="AO5" s="1689"/>
      <c r="AP5" s="1689"/>
      <c r="AQ5" s="1696">
        <v>0</v>
      </c>
    </row>
    <row s="4423" customFormat="1" customHeight="1" ht="0.75" hidden="1">
      <c r="A6" s="1440"/>
      <c r="B6" s="1440"/>
      <c r="C6" s="1440"/>
      <c r="D6" s="1440"/>
      <c r="E6" s="2355"/>
      <c r="F6" s="2355"/>
      <c r="G6" s="2355"/>
      <c r="H6" s="2355"/>
      <c r="I6" s="2192">
        <f>S5&amp;".1"</f>
      </c>
      <c r="J6" s="1440"/>
      <c r="K6" s="1440"/>
      <c r="L6" s="1446" t="s">
        <v>422</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423"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64</v>
      </c>
      <c r="Z8" s="2057"/>
      <c r="AA8" s="2055" t="s">
        <v>64</v>
      </c>
      <c r="AB8" s="2061"/>
      <c r="AC8" s="2062" t="s">
        <v>28</v>
      </c>
      <c r="AD8" s="816"/>
      <c r="AE8" s="1322"/>
      <c r="AF8" s="2020"/>
      <c r="AG8" s="2007" t="s">
        <v>64</v>
      </c>
      <c r="AH8" s="2020"/>
      <c r="AI8" s="2007" t="s">
        <v>64</v>
      </c>
      <c r="AJ8" s="1413"/>
      <c r="AK8" s="2318" t="s">
        <v>484</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488</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423"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423"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423"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165</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423"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166</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423"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167</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64</v>
      </c>
      <c r="AH16" s="1801"/>
      <c r="AI16" s="2031" t="s">
        <v>64</v>
      </c>
      <c r="AQ16" s="1696">
        <v>0</v>
      </c>
    </row>
    <row customHeight="1" ht="14.25" hidden="1">
      <c r="AL17" s="1706"/>
      <c r="AM17" s="1706"/>
      <c r="AN17" s="1706"/>
      <c r="AO17" s="1706"/>
      <c r="AP17" s="1706"/>
      <c r="AQ17" s="1696">
        <v>0</v>
      </c>
    </row>
    <row customHeight="1" ht="14.25" hidden="1">
      <c r="O18" s="1410" t="s">
        <v>433</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4146" customFormat="1" customHeight="1" ht="14.25" hidden="1">
      <c r="A20" s="2036"/>
      <c r="B20" s="2036"/>
      <c r="C20" s="2036"/>
      <c r="D20" s="2036"/>
      <c r="E20" s="2036"/>
      <c r="F20" s="2036"/>
      <c r="G20" s="2036"/>
      <c r="H20" s="2036"/>
      <c r="I20" s="2036"/>
      <c r="J20" s="2036"/>
      <c r="K20" s="2036"/>
      <c r="L20" s="2036"/>
      <c r="M20" s="2037"/>
      <c r="N20" s="2037"/>
      <c r="O20" s="2038" t="s">
        <v>434</v>
      </c>
      <c r="P20" s="1573"/>
      <c r="Q20" s="1575"/>
      <c r="R20" s="1575"/>
      <c r="Y20" s="1572" t="s">
        <v>436</v>
      </c>
      <c r="AA20" s="1572" t="s">
        <v>437</v>
      </c>
      <c r="AC20" s="1572" t="s">
        <v>490</v>
      </c>
      <c r="AG20" s="1572" t="s">
        <v>436</v>
      </c>
      <c r="AI20" s="1572" t="s">
        <v>437</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485"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485"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439</v>
      </c>
      <c r="T28" s="2315"/>
      <c r="U28" s="1437"/>
      <c r="V28" s="2329" t="str">
        <f>IF(TITLE_DATE_PR_CHANGE="",IF(TITLE_DATE_PR="","",TITLE_DATE_PR),TITLE_DATE_PR_CHANGE)</f>
        <v>45643.434652777774</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485"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440</v>
      </c>
      <c r="T29" s="2315"/>
      <c r="U29" s="1437"/>
      <c r="V29" s="2316" t="str">
        <f>IF(TITLE_NUMBER_PR_CHANGE="",IF(TITLE_NUMBER_PR="","",TITLE_NUMBER_PR),TITLE_NUMBER_PR_CHANGE)</f>
        <v>71/2</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485"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44</v>
      </c>
      <c r="T30" s="2315"/>
      <c r="U30" s="1437"/>
      <c r="V30" s="2316" t="str">
        <f>IF(TITLE_IST_PUB_CHANGE="",IF(TITLE_IST_PUB="","",TITLE_IST_PUB),TITLE_IST_PUB_CHANGE)</f>
        <v>Официальный интернет-портал правовой информации Ставропольского края</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485"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439</v>
      </c>
      <c r="T32" s="2315"/>
      <c r="U32" s="1437"/>
      <c r="V32" s="2329" t="str">
        <f>IF(TITLE_DATE_PR_CHANGE="",IF(TITLE_DATE_PR="","",TITLE_DATE_PR),TITLE_DATE_PR_CHANGE)</f>
        <v>45643.434652777774</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485"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440</v>
      </c>
      <c r="T33" s="2315"/>
      <c r="U33" s="1437"/>
      <c r="V33" s="2316" t="str">
        <f>IF(TITLE_NUMBER_PR_CHANGE="",IF(TITLE_NUMBER_PR="","",TITLE_NUMBER_PR),TITLE_NUMBER_PR_CHANGE)</f>
        <v>71/2</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485"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443</v>
      </c>
      <c r="AB34" s="1707"/>
      <c r="AC34" s="1700"/>
      <c r="AD34" s="1700"/>
      <c r="AE34" s="1700"/>
      <c r="AF34" s="1700"/>
      <c r="AG34" s="1700"/>
      <c r="AH34" s="1700"/>
      <c r="AI34" s="1707" t="s">
        <v>443</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319</v>
      </c>
      <c r="T36" s="2192"/>
      <c r="U36" s="2192"/>
      <c r="V36" s="2192"/>
      <c r="W36" s="2192"/>
      <c r="X36" s="2192"/>
      <c r="Y36" s="2192"/>
      <c r="Z36" s="2192"/>
      <c r="AA36" s="2240"/>
      <c r="AB36" s="2240"/>
      <c r="AC36" s="2240"/>
      <c r="AD36" s="2192"/>
      <c r="AE36" s="2192"/>
      <c r="AF36" s="2192"/>
      <c r="AG36" s="2192"/>
      <c r="AH36" s="2192"/>
      <c r="AI36" s="2192"/>
      <c r="AJ36" s="2192"/>
      <c r="AK36" s="2192" t="s">
        <v>320</v>
      </c>
      <c r="AQ36" s="1696">
        <v>14</v>
      </c>
    </row>
    <row customHeight="1" ht="14.699999999999998">
      <c r="Q37" s="356"/>
      <c r="R37" s="441"/>
      <c r="S37" s="2338" t="s">
        <v>91</v>
      </c>
      <c r="T37" s="2274" t="s">
        <v>519</v>
      </c>
      <c r="U37" s="402"/>
      <c r="V37" s="2340"/>
      <c r="W37" s="2340"/>
      <c r="X37" s="2340"/>
      <c r="Y37" s="2340"/>
      <c r="Z37" s="2340"/>
      <c r="AA37" s="2274" t="s">
        <v>446</v>
      </c>
      <c r="AB37" s="2273" t="s">
        <v>520</v>
      </c>
      <c r="AC37" s="2273" t="s">
        <v>494</v>
      </c>
      <c r="AD37" s="2356" t="s">
        <v>445</v>
      </c>
      <c r="AE37" s="2356"/>
      <c r="AF37" s="2340"/>
      <c r="AG37" s="2340"/>
      <c r="AH37" s="2341"/>
      <c r="AI37" s="2342" t="s">
        <v>446</v>
      </c>
      <c r="AJ37" s="2345" t="s">
        <v>448</v>
      </c>
      <c r="AK37" s="2192"/>
      <c r="AQ37" s="1696">
        <v>14</v>
      </c>
    </row>
    <row customHeight="1" ht="35.699999999999996">
      <c r="Q38" s="356"/>
      <c r="R38" s="441"/>
      <c r="S38" s="2338"/>
      <c r="T38" s="2274"/>
      <c r="U38" s="1096"/>
      <c r="V38" s="2168" t="s">
        <v>497</v>
      </c>
      <c r="W38" s="2192"/>
      <c r="X38" s="2359" t="s">
        <v>452</v>
      </c>
      <c r="Y38" s="2378"/>
      <c r="Z38" s="2378"/>
      <c r="AA38" s="2274"/>
      <c r="AB38" s="2273"/>
      <c r="AC38" s="2273"/>
      <c r="AD38" s="2168" t="s">
        <v>497</v>
      </c>
      <c r="AE38" s="2192"/>
      <c r="AF38" s="2378" t="s">
        <v>452</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138</v>
      </c>
      <c r="C40" s="1331" t="s">
        <v>139</v>
      </c>
      <c r="D40" s="1331" t="s">
        <v>140</v>
      </c>
      <c r="E40" s="1375" t="s">
        <v>453</v>
      </c>
      <c r="F40" s="1375" t="s">
        <v>454</v>
      </c>
      <c r="G40" s="1375" t="s">
        <v>455</v>
      </c>
      <c r="H40" s="1375" t="s">
        <v>456</v>
      </c>
      <c r="I40" s="1375" t="s">
        <v>457</v>
      </c>
      <c r="J40" s="1375" t="s">
        <v>458</v>
      </c>
      <c r="K40" s="1375" t="s">
        <v>459</v>
      </c>
      <c r="L40" s="1375" t="s">
        <v>434</v>
      </c>
      <c r="Q40" s="356"/>
      <c r="R40" s="441"/>
      <c r="S40" s="2338"/>
      <c r="T40" s="2274"/>
      <c r="U40" s="367"/>
      <c r="V40" s="2015" t="s">
        <v>498</v>
      </c>
      <c r="W40" s="2015" t="s">
        <v>499</v>
      </c>
      <c r="X40" s="2003" t="s">
        <v>462</v>
      </c>
      <c r="Y40" s="2335" t="s">
        <v>463</v>
      </c>
      <c r="Z40" s="2385"/>
      <c r="AA40" s="2274"/>
      <c r="AB40" s="2273"/>
      <c r="AC40" s="2273"/>
      <c r="AD40" s="2033" t="s">
        <v>498</v>
      </c>
      <c r="AE40" s="2024" t="s">
        <v>499</v>
      </c>
      <c r="AF40" s="2003" t="s">
        <v>462</v>
      </c>
      <c r="AG40" s="2335" t="s">
        <v>463</v>
      </c>
      <c r="AH40" s="2336"/>
      <c r="AI40" s="2344"/>
      <c r="AJ40" s="2347"/>
      <c r="AK40" s="2192"/>
      <c r="AQ40" s="1696">
        <v>14</v>
      </c>
    </row>
    <row s="4094"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112</v>
      </c>
      <c r="T41" s="1320" t="s">
        <v>113</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225</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126</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9"/>
      <c r="AN42" s="1689" t="str">
        <f>IF(T42="","",T42)</f>
        <v>Наименование тарифа</v>
      </c>
      <c r="AO42" s="1689"/>
      <c r="AP42" s="1689"/>
      <c r="AQ42" s="1696">
        <v>102</v>
      </c>
    </row>
    <row customHeight="1" ht="22.049999999999997">
      <c r="A43" s="1332" t="s">
        <v>225</v>
      </c>
      <c r="B43" s="1332" t="s">
        <v>226</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416</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417</v>
      </c>
      <c r="AM43" s="1689"/>
      <c r="AN43" s="1689" t="str">
        <f>IF(T43="","",T43)</f>
        <v>Территория действия тарифа</v>
      </c>
      <c r="AO43" s="1689"/>
      <c r="AP43" s="1689"/>
      <c r="AQ43" s="1696">
        <v>21</v>
      </c>
    </row>
    <row customHeight="1" ht="24">
      <c r="A44" s="1332" t="s">
        <v>225</v>
      </c>
      <c r="B44" s="1332" t="s">
        <v>226</v>
      </c>
      <c r="C44" s="1332" t="s">
        <v>227</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418</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419</v>
      </c>
      <c r="AM44" s="1689"/>
      <c r="AN44" s="1689" t="str">
        <f>IF(T44="","",T44)</f>
        <v>Наименование системы теплоснабжения </v>
      </c>
      <c r="AO44" s="1689"/>
      <c r="AP44" s="1689"/>
      <c r="AQ44" s="1696">
        <v>23</v>
      </c>
    </row>
    <row customHeight="1" ht="22.049999999999997">
      <c r="A45" s="1332" t="s">
        <v>225</v>
      </c>
      <c r="B45" s="1332" t="s">
        <v>226</v>
      </c>
      <c r="C45" s="1332" t="s">
        <v>227</v>
      </c>
      <c r="D45" s="1332" t="s">
        <v>228</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420</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421</v>
      </c>
      <c r="AM45" s="1689"/>
      <c r="AN45" s="1689" t="str">
        <f>IF(T45="","",T45)</f>
        <v>Источник тепловой энергии  </v>
      </c>
      <c r="AO45" s="1689"/>
      <c r="AP45" s="1689"/>
      <c r="AQ45" s="1696">
        <v>21</v>
      </c>
    </row>
    <row s="4423" customFormat="1" customHeight="1" ht="0">
      <c r="A46" s="1440" t="s">
        <v>225</v>
      </c>
      <c r="B46" s="1440" t="s">
        <v>226</v>
      </c>
      <c r="C46" s="1440" t="s">
        <v>227</v>
      </c>
      <c r="D46" s="1440" t="s">
        <v>228</v>
      </c>
      <c r="E46" s="2355"/>
      <c r="F46" s="2355"/>
      <c r="G46" s="2355"/>
      <c r="H46" s="2355"/>
      <c r="I46" s="2192" t="str">
        <f>S45&amp;".1"</f>
        <v>....1</v>
      </c>
      <c r="J46" s="1440"/>
      <c r="K46" s="1440"/>
      <c r="L46" s="1446" t="s">
        <v>422</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423" customFormat="1" customHeight="1" ht="0">
      <c r="A47" s="1440" t="s">
        <v>225</v>
      </c>
      <c r="B47" s="1440" t="s">
        <v>226</v>
      </c>
      <c r="C47" s="1440" t="s">
        <v>227</v>
      </c>
      <c r="D47" s="1440" t="s">
        <v>228</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225</v>
      </c>
      <c r="B48" s="1332" t="s">
        <v>226</v>
      </c>
      <c r="C48" s="1332" t="s">
        <v>227</v>
      </c>
      <c r="D48" s="1332" t="s">
        <v>228</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64</v>
      </c>
      <c r="Z48" s="2020"/>
      <c r="AA48" s="2007" t="s">
        <v>64</v>
      </c>
      <c r="AB48" s="2029"/>
      <c r="AC48" s="2028" t="s">
        <v>28</v>
      </c>
      <c r="AD48" s="816"/>
      <c r="AE48" s="1322"/>
      <c r="AF48" s="2020"/>
      <c r="AG48" s="2007" t="s">
        <v>64</v>
      </c>
      <c r="AH48" s="2020"/>
      <c r="AI48" s="2007" t="s">
        <v>64</v>
      </c>
      <c r="AJ48" s="1413"/>
      <c r="AK48" s="2318" t="s">
        <v>500</v>
      </c>
      <c r="AL48" s="1701">
        <f>STRCHECKDATE(#REF!)</f>
      </c>
      <c r="AM48" s="1689"/>
      <c r="AN48" s="1689" t="str">
        <f>IF(T48="","",T48)</f>
        <v/>
      </c>
      <c r="AO48" s="1689"/>
      <c r="AP48" s="1689"/>
      <c r="AQ48" s="1696">
        <v>21</v>
      </c>
    </row>
    <row customHeight="1" ht="11.549999999999999">
      <c r="A49" s="1332" t="s">
        <v>225</v>
      </c>
      <c r="B49" s="1332" t="s">
        <v>226</v>
      </c>
      <c r="C49" s="1332" t="s">
        <v>227</v>
      </c>
      <c r="D49" s="1332" t="s">
        <v>228</v>
      </c>
      <c r="E49" s="2355"/>
      <c r="F49" s="2355"/>
      <c r="G49" s="2355"/>
      <c r="H49" s="2355"/>
      <c r="I49" s="2166"/>
      <c r="J49" s="2192"/>
      <c r="K49" s="1332"/>
      <c r="L49" s="1375"/>
      <c r="P49" s="2322"/>
      <c r="Q49" s="2322"/>
      <c r="R49" s="421"/>
      <c r="S49" s="1343"/>
      <c r="T49" s="352" t="s">
        <v>488</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423" customFormat="1" customHeight="1" ht="1.05">
      <c r="A50" s="1440" t="s">
        <v>225</v>
      </c>
      <c r="B50" s="1440" t="s">
        <v>226</v>
      </c>
      <c r="C50" s="1440" t="s">
        <v>227</v>
      </c>
      <c r="D50" s="1440" t="s">
        <v>228</v>
      </c>
      <c r="E50" s="2355"/>
      <c r="F50" s="2355"/>
      <c r="G50" s="2355"/>
      <c r="H50" s="2355"/>
      <c r="I50" s="2192"/>
      <c r="J50" s="1440"/>
      <c r="K50" s="1440"/>
      <c r="L50" s="1446"/>
      <c r="M50" s="1311"/>
      <c r="N50" s="1311"/>
      <c r="O50" s="1311"/>
      <c r="P50" s="2322"/>
      <c r="Q50" s="2019"/>
      <c r="R50" s="421"/>
      <c r="S50" s="1451"/>
      <c r="T50" s="1452" t="s">
        <v>431</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4094" customFormat="1" customHeight="1" ht="1.05">
      <c r="A51" s="1440" t="s">
        <v>225</v>
      </c>
      <c r="B51" s="1440" t="s">
        <v>226</v>
      </c>
      <c r="C51" s="1440" t="s">
        <v>227</v>
      </c>
      <c r="D51" s="1440" t="s">
        <v>228</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423" customFormat="1" customHeight="1" ht="1.05">
      <c r="A52" s="1440" t="s">
        <v>225</v>
      </c>
      <c r="B52" s="1440" t="s">
        <v>226</v>
      </c>
      <c r="C52" s="1440" t="s">
        <v>227</v>
      </c>
      <c r="D52" s="1439"/>
      <c r="E52" s="2355"/>
      <c r="F52" s="2355"/>
      <c r="G52" s="2354"/>
      <c r="H52" s="1439"/>
      <c r="I52" s="1439"/>
      <c r="J52" s="1439"/>
      <c r="K52" s="1439"/>
      <c r="L52" s="1442"/>
      <c r="M52" s="1443"/>
      <c r="N52" s="1443"/>
      <c r="O52" s="416"/>
      <c r="P52" s="1381"/>
      <c r="Q52" s="1382"/>
      <c r="R52" s="1381"/>
      <c r="S52" s="1387"/>
      <c r="T52" s="1390" t="s">
        <v>165</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423" customFormat="1" customHeight="1" ht="1.05">
      <c r="A53" s="1440" t="s">
        <v>225</v>
      </c>
      <c r="B53" s="1440" t="s">
        <v>226</v>
      </c>
      <c r="C53" s="1439"/>
      <c r="D53" s="1439"/>
      <c r="E53" s="2355"/>
      <c r="F53" s="2354"/>
      <c r="G53" s="1439"/>
      <c r="H53" s="1439"/>
      <c r="I53" s="1439"/>
      <c r="J53" s="1439"/>
      <c r="K53" s="1439"/>
      <c r="L53" s="1442"/>
      <c r="M53" s="1444"/>
      <c r="N53" s="1444"/>
      <c r="O53" s="416"/>
      <c r="P53" s="1381"/>
      <c r="Q53" s="1382"/>
      <c r="R53" s="1381"/>
      <c r="S53" s="1387"/>
      <c r="T53" s="1390" t="s">
        <v>166</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423" customFormat="1" customHeight="1" ht="1.05">
      <c r="A54" s="1440" t="s">
        <v>225</v>
      </c>
      <c r="B54" s="1440"/>
      <c r="C54" s="1440"/>
      <c r="D54" s="1440"/>
      <c r="E54" s="2355"/>
      <c r="F54" s="1440"/>
      <c r="G54" s="1440"/>
      <c r="H54" s="1440"/>
      <c r="I54" s="1440"/>
      <c r="J54" s="1440"/>
      <c r="K54" s="1440"/>
      <c r="L54" s="1446"/>
      <c r="M54" s="1444"/>
      <c r="N54" s="1444"/>
      <c r="O54" s="416"/>
      <c r="P54" s="445"/>
      <c r="Q54" s="1409"/>
      <c r="R54" s="445"/>
      <c r="S54" s="1387"/>
      <c r="T54" s="1390" t="s">
        <v>167</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423" customFormat="1" customHeight="1" ht="1.05">
      <c r="A55" s="1440" t="s">
        <v>225</v>
      </c>
      <c r="B55" s="1440"/>
      <c r="C55" s="1440"/>
      <c r="D55" s="1440"/>
      <c r="E55" s="2354"/>
      <c r="F55" s="1440"/>
      <c r="G55" s="1440"/>
      <c r="H55" s="1440"/>
      <c r="I55" s="1440"/>
      <c r="J55" s="1440"/>
      <c r="K55" s="1440"/>
      <c r="L55" s="1446"/>
      <c r="M55" s="1444"/>
      <c r="N55" s="1444"/>
      <c r="O55" s="416"/>
      <c r="P55" s="445"/>
      <c r="Q55" s="1409"/>
      <c r="R55" s="445"/>
      <c r="S55" s="1387"/>
      <c r="T55" s="1390" t="s">
        <v>167</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423"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168</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85</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3520F-ED87-BFC5-718A-69484AECDF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903" width="11.57421875" hidden="1" customWidth="1"/>
    <col min="2" max="2" style="4903" width="11.00390625" hidden="1" customWidth="1"/>
    <col min="3" max="3" style="4903" width="10.57421875" hidden="1"/>
    <col min="4" max="4" style="4903" width="12.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2.00390625" hidden="1" customWidth="1"/>
    <col min="10" max="10" style="4903" width="9.8515625" hidden="1" customWidth="1"/>
    <col min="11" max="11" style="4903" width="11.421875" hidden="1" customWidth="1"/>
    <col min="12" max="12" style="5422" width="19.140625" hidden="1" customWidth="1"/>
    <col min="13" max="14" style="4107" width="12.28125" hidden="1" customWidth="1"/>
    <col min="15" max="15" style="4107" width="23.421875" hidden="1" customWidth="1"/>
    <col min="16" max="16" style="4107" width="3.7109375" hidden="1" customWidth="1"/>
    <col min="17" max="17" style="3716" width="3.7109375" hidden="1" customWidth="1"/>
    <col min="18" max="18" style="4943" width="3.00390625" customWidth="1"/>
    <col min="19" max="19" style="5599" width="12.00390625" customWidth="1"/>
    <col min="20" max="20" style="4921" width="31.00390625" customWidth="1"/>
    <col min="21" max="21" style="4921" width="0.140625" customWidth="1"/>
    <col min="22" max="25" style="4921" width="21.710937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3.7109375" customWidth="1"/>
    <col min="31" max="32" style="4921" width="3.00390625" customWidth="1"/>
    <col min="33" max="33" style="4921" width="24.00390625" customWidth="1"/>
    <col min="34" max="34" style="4921" width="3.7109375" customWidth="1"/>
    <col min="35" max="36" style="4921" width="3.00390625" customWidth="1"/>
    <col min="37" max="37" style="4921" width="24.00390625" customWidth="1"/>
    <col min="38" max="38" style="4921" width="3.7109375" customWidth="1"/>
    <col min="39" max="40" style="4921" width="3.00390625" customWidth="1"/>
    <col min="41" max="41" style="4921" width="18.00390625" customWidth="1"/>
    <col min="42" max="42" style="4921" width="3.7109375" customWidth="1"/>
    <col min="43" max="44" style="4921" width="3.00390625" customWidth="1"/>
    <col min="45" max="45" style="4921" width="18.00390625" customWidth="1"/>
    <col min="46" max="49" style="4921" width="21.00390625" customWidth="1"/>
    <col min="50" max="50" style="4921" width="11.00390625" customWidth="1"/>
    <col min="51" max="51" style="4921" width="3.7109375" customWidth="1"/>
    <col min="52" max="52" style="4921" width="11.00390625" customWidth="1"/>
    <col min="53" max="53" style="4921" width="8.57421875" hidden="1" customWidth="1"/>
    <col min="54" max="54" style="4921" width="4.00390625" customWidth="1"/>
    <col min="55" max="55" style="4921" width="115.00390625" customWidth="1"/>
    <col min="56" max="60" style="4423" width="10.00390625" customWidth="1"/>
    <col min="61" max="61" style="4921"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126</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416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417</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501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502</v>
      </c>
      <c r="BE4" s="565"/>
      <c r="BF4" s="565" t="str">
        <f>IF(T4="","",T4)</f>
        <v>Наименование централизованной системы холодного водоснабжения</v>
      </c>
      <c r="BG4" s="565"/>
      <c r="BH4" s="565"/>
      <c r="BI4" s="1220">
        <v>0</v>
      </c>
    </row>
    <row s="4423"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421</v>
      </c>
      <c r="BE5" s="565"/>
      <c r="BF5" s="565" t="str">
        <f>IF(T5="","",T5)</f>
        <v/>
      </c>
      <c r="BG5" s="565"/>
      <c r="BH5" s="565"/>
      <c r="BI5" s="576">
        <v>0</v>
      </c>
    </row>
    <row s="4423" customFormat="1" customHeight="1" ht="14.25" hidden="1">
      <c r="A6" s="1408"/>
      <c r="B6" s="1408"/>
      <c r="C6" s="1408"/>
      <c r="D6" s="1408"/>
      <c r="E6" s="2324"/>
      <c r="F6" s="2324"/>
      <c r="G6" s="2324"/>
      <c r="H6" s="2324"/>
      <c r="I6" s="2321" t="str">
        <f>S5&amp;".1"</f>
        <v>.1</v>
      </c>
      <c r="J6" s="1408"/>
      <c r="K6" s="1408"/>
      <c r="L6" s="1411" t="s">
        <v>422</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423"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64</v>
      </c>
      <c r="AB8" s="1799"/>
      <c r="AC8" s="1524" t="s">
        <v>64</v>
      </c>
      <c r="AD8" s="2250" t="s">
        <v>64</v>
      </c>
      <c r="AE8" s="2391"/>
      <c r="AF8" s="2270">
        <v>1</v>
      </c>
      <c r="AG8" s="2428"/>
      <c r="AH8" s="2172" t="s">
        <v>64</v>
      </c>
      <c r="AI8" s="2391"/>
      <c r="AJ8" s="2270">
        <v>1</v>
      </c>
      <c r="AK8" s="2392" t="s">
        <v>28</v>
      </c>
      <c r="AL8" s="2172" t="s">
        <v>64</v>
      </c>
      <c r="AM8" s="2257"/>
      <c r="AN8" s="2270">
        <v>1</v>
      </c>
      <c r="AO8" s="2422"/>
      <c r="AP8" s="2423" t="s">
        <v>64</v>
      </c>
      <c r="AQ8" s="376"/>
      <c r="AR8" s="1528">
        <v>1</v>
      </c>
      <c r="AS8" s="1531" t="s">
        <v>28</v>
      </c>
      <c r="AT8" s="816"/>
      <c r="AU8" s="1322"/>
      <c r="AV8" s="816"/>
      <c r="AW8" s="1322"/>
      <c r="AX8" s="1799"/>
      <c r="AY8" s="1524" t="s">
        <v>64</v>
      </c>
      <c r="AZ8" s="1799"/>
      <c r="BA8" s="1524" t="s">
        <v>64</v>
      </c>
      <c r="BB8" s="1413"/>
      <c r="BC8" s="2318" t="s">
        <v>521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522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525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423"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423"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423"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423"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166</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423"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167</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64</v>
      </c>
      <c r="AZ20" s="1801"/>
      <c r="BA20" s="1525" t="s">
        <v>64</v>
      </c>
      <c r="BI20" s="1220">
        <v>0</v>
      </c>
    </row>
    <row customHeight="1" ht="14.25" hidden="1">
      <c r="BD21" s="561"/>
      <c r="BE21" s="561"/>
      <c r="BF21" s="561"/>
      <c r="BG21" s="561"/>
      <c r="BH21" s="561"/>
      <c r="BI21" s="1220">
        <v>0</v>
      </c>
    </row>
    <row customHeight="1" ht="14.25" hidden="1">
      <c r="O22" s="1432" t="s">
        <v>433</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4146" customFormat="1" customHeight="1" ht="14.25" hidden="1">
      <c r="M24" s="1573"/>
      <c r="N24" s="1573"/>
      <c r="O24" s="1574" t="s">
        <v>434</v>
      </c>
      <c r="P24" s="1573"/>
      <c r="Q24" s="1575"/>
      <c r="R24" s="1575"/>
      <c r="AA24" s="1572" t="s">
        <v>436</v>
      </c>
      <c r="AC24" s="1572" t="s">
        <v>437</v>
      </c>
      <c r="AD24" s="1572" t="s">
        <v>489</v>
      </c>
      <c r="AH24" s="1572" t="s">
        <v>489</v>
      </c>
      <c r="AK24" s="1572" t="s">
        <v>526</v>
      </c>
      <c r="AL24" s="1572" t="s">
        <v>489</v>
      </c>
      <c r="AP24" s="1572" t="s">
        <v>489</v>
      </c>
      <c r="AY24" s="1572" t="s">
        <v>436</v>
      </c>
      <c r="BA24" s="1572" t="s">
        <v>437</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Филиал ПАО "ОГК-2"-Ставропольская ГРЭС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485"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485" customFormat="1" customHeight="1" ht="18.75">
      <c r="A32" s="1433"/>
      <c r="B32" s="1433"/>
      <c r="C32" s="1433"/>
      <c r="D32" s="1433"/>
      <c r="E32" s="1433"/>
      <c r="F32" s="1433"/>
      <c r="G32" s="1433"/>
      <c r="H32" s="1433"/>
      <c r="I32" s="1433"/>
      <c r="J32" s="1433"/>
      <c r="K32" s="1433"/>
      <c r="L32" s="1434"/>
      <c r="M32" s="1433"/>
      <c r="N32" s="1433"/>
      <c r="O32" s="1433"/>
      <c r="P32" s="1433"/>
      <c r="Q32" s="1433"/>
      <c r="S32" s="2315" t="s">
        <v>439</v>
      </c>
      <c r="T32" s="2315"/>
      <c r="U32" s="1437"/>
      <c r="V32" s="2329" t="str">
        <f>IF(TITLE_DATE_PR_CHANGE="",IF(TITLE_DATE_PR="","",TITLE_DATE_PR),TITLE_DATE_PR_CHANGE)</f>
        <v>45643.434652777774</v>
      </c>
      <c r="W32" s="2329"/>
      <c r="X32" s="2329"/>
      <c r="Y32" s="2329"/>
      <c r="Z32" s="2329"/>
      <c r="AA32" s="2329"/>
      <c r="AB32" s="2329"/>
      <c r="AC32" s="391"/>
      <c r="AD32" s="2329" t="str">
        <f>IF(TITLE_DATE_PR_CHANGE="",IF(TITLE_DATE_PR="","",TITLE_DATE_PR),TITLE_DATE_PR_CHANGE)</f>
        <v>45643.434652777774</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485" customFormat="1" customHeight="1" ht="18.75">
      <c r="A33" s="1433"/>
      <c r="B33" s="1433"/>
      <c r="C33" s="1433"/>
      <c r="D33" s="1433"/>
      <c r="E33" s="1433"/>
      <c r="F33" s="1433"/>
      <c r="G33" s="1433"/>
      <c r="H33" s="1433"/>
      <c r="I33" s="1433"/>
      <c r="J33" s="1433"/>
      <c r="K33" s="1433"/>
      <c r="L33" s="1434"/>
      <c r="M33" s="1433"/>
      <c r="N33" s="1433"/>
      <c r="O33" s="1433"/>
      <c r="P33" s="1433"/>
      <c r="Q33" s="1433"/>
      <c r="S33" s="2315" t="s">
        <v>440</v>
      </c>
      <c r="T33" s="2315"/>
      <c r="U33" s="1437"/>
      <c r="V33" s="2316" t="str">
        <f>IF(TITLE_NUMBER_PR_CHANGE="",IF(TITLE_NUMBER_PR="","",TITLE_NUMBER_PR),TITLE_NUMBER_PR_CHANGE)</f>
        <v>71/2</v>
      </c>
      <c r="W33" s="2316"/>
      <c r="X33" s="2316"/>
      <c r="Y33" s="2316"/>
      <c r="Z33" s="2316"/>
      <c r="AA33" s="2316"/>
      <c r="AB33" s="2316"/>
      <c r="AC33" s="391"/>
      <c r="AD33" s="2316" t="str">
        <f>IF(TITLE_NUMBER_PR_CHANGE="",IF(TITLE_NUMBER_PR="","",TITLE_NUMBER_PR),TITLE_NUMBER_PR_CHANGE)</f>
        <v>71/2</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485"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Официальный интернет-портал правовой информации Ставропольского края</v>
      </c>
      <c r="W34" s="2316"/>
      <c r="X34" s="2316"/>
      <c r="Y34" s="2316"/>
      <c r="Z34" s="2316"/>
      <c r="AA34" s="2316"/>
      <c r="AB34" s="2316"/>
      <c r="AC34" s="391"/>
      <c r="AD34" s="2316" t="str">
        <f>IF(TITLE_IST_PUB_CHANGE="",IF(TITLE_IST_PUB="","",TITLE_IST_PUB),TITLE_IST_PUB_CHANGE)</f>
        <v>Официальный интернет-портал правовой информации Ставропольского края</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485"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439</v>
      </c>
      <c r="T36" s="2315"/>
      <c r="U36" s="1437"/>
      <c r="V36" s="2329" t="str">
        <f>IF(TITLE_DATE_PR_CHANGE="",IF(TITLE_DATE_PR="","",TITLE_DATE_PR),TITLE_DATE_PR_CHANGE)</f>
        <v>45643.434652777774</v>
      </c>
      <c r="W36" s="2329"/>
      <c r="X36" s="2329"/>
      <c r="Y36" s="2329"/>
      <c r="Z36" s="2329"/>
      <c r="AA36" s="2329"/>
      <c r="AB36" s="2329"/>
      <c r="AC36" s="391"/>
      <c r="AD36" s="2329" t="str">
        <f>IF(TITLE_DATE_PR_CHANGE="",IF(TITLE_DATE_PR="","",TITLE_DATE_PR),TITLE_DATE_PR_CHANGE)</f>
        <v>45643.434652777774</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485"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440</v>
      </c>
      <c r="T37" s="2315"/>
      <c r="U37" s="1437"/>
      <c r="V37" s="2316" t="str">
        <f>IF(TITLE_NUMBER_PR_CHANGE="",IF(TITLE_NUMBER_PR="","",TITLE_NUMBER_PR),TITLE_NUMBER_PR_CHANGE)</f>
        <v>71/2</v>
      </c>
      <c r="W37" s="2316"/>
      <c r="X37" s="2316"/>
      <c r="Y37" s="2316"/>
      <c r="Z37" s="2316"/>
      <c r="AA37" s="2316"/>
      <c r="AB37" s="2316"/>
      <c r="AC37" s="391"/>
      <c r="AD37" s="2316" t="str">
        <f>IF(TITLE_NUMBER_PR_CHANGE="",IF(TITLE_NUMBER_PR="","",TITLE_NUMBER_PR),TITLE_NUMBER_PR_CHANGE)</f>
        <v>71/2</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485"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443</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443</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319</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320</v>
      </c>
      <c r="BI40" s="1220">
        <v>14</v>
      </c>
    </row>
    <row customHeight="1" ht="14.699999999999998">
      <c r="Q41" s="356"/>
      <c r="R41" s="441"/>
      <c r="S41" s="2338" t="s">
        <v>91</v>
      </c>
      <c r="T41" s="2274" t="s">
        <v>527</v>
      </c>
      <c r="U41" s="366"/>
      <c r="V41" s="2339" t="s">
        <v>445</v>
      </c>
      <c r="W41" s="2340"/>
      <c r="X41" s="2340"/>
      <c r="Y41" s="2340"/>
      <c r="Z41" s="2340"/>
      <c r="AA41" s="2340"/>
      <c r="AB41" s="2341"/>
      <c r="AC41" s="2342" t="s">
        <v>446</v>
      </c>
      <c r="AD41" s="2393" t="s">
        <v>528</v>
      </c>
      <c r="AE41" s="2356"/>
      <c r="AF41" s="2356"/>
      <c r="AG41" s="2394"/>
      <c r="AH41" s="2393" t="s">
        <v>529</v>
      </c>
      <c r="AI41" s="2356"/>
      <c r="AJ41" s="2356"/>
      <c r="AK41" s="2394"/>
      <c r="AL41" s="2393" t="s">
        <v>530</v>
      </c>
      <c r="AM41" s="2356"/>
      <c r="AN41" s="2356"/>
      <c r="AO41" s="2394"/>
      <c r="AP41" s="2393" t="s">
        <v>531</v>
      </c>
      <c r="AQ41" s="2356"/>
      <c r="AR41" s="2356"/>
      <c r="AS41" s="2394"/>
      <c r="AT41" s="2339" t="s">
        <v>445</v>
      </c>
      <c r="AU41" s="2340"/>
      <c r="AV41" s="2340"/>
      <c r="AW41" s="2340"/>
      <c r="AX41" s="2340"/>
      <c r="AY41" s="2340"/>
      <c r="AZ41" s="2341"/>
      <c r="BA41" s="2342" t="s">
        <v>446</v>
      </c>
      <c r="BB41" s="2345" t="s">
        <v>448</v>
      </c>
      <c r="BC41" s="2192"/>
      <c r="BI41" s="1220">
        <v>14</v>
      </c>
    </row>
    <row customHeight="1" ht="35.699999999999996">
      <c r="Q42" s="356"/>
      <c r="R42" s="441"/>
      <c r="S42" s="2338"/>
      <c r="T42" s="2274"/>
      <c r="U42" s="1096"/>
      <c r="V42" s="2257" t="s">
        <v>532</v>
      </c>
      <c r="W42" s="2258"/>
      <c r="X42" s="2257" t="s">
        <v>533</v>
      </c>
      <c r="Y42" s="2258"/>
      <c r="Z42" s="2359" t="s">
        <v>534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532</v>
      </c>
      <c r="AU42" s="2258"/>
      <c r="AV42" s="2257" t="s">
        <v>533</v>
      </c>
      <c r="AW42" s="2258"/>
      <c r="AX42" s="2359" t="s">
        <v>534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138</v>
      </c>
      <c r="C44" s="1435" t="s">
        <v>139</v>
      </c>
      <c r="D44" s="1435" t="s">
        <v>140</v>
      </c>
      <c r="E44" s="1429" t="s">
        <v>453</v>
      </c>
      <c r="F44" s="1429" t="s">
        <v>454</v>
      </c>
      <c r="G44" s="1429" t="s">
        <v>455</v>
      </c>
      <c r="H44" s="1429" t="s">
        <v>456</v>
      </c>
      <c r="I44" s="1429" t="s">
        <v>457</v>
      </c>
      <c r="J44" s="1429" t="s">
        <v>458</v>
      </c>
      <c r="K44" s="1429" t="s">
        <v>459</v>
      </c>
      <c r="L44" s="1429" t="s">
        <v>434</v>
      </c>
      <c r="Q44" s="356"/>
      <c r="R44" s="441"/>
      <c r="S44" s="2338"/>
      <c r="T44" s="2274"/>
      <c r="U44" s="367"/>
      <c r="V44" s="1513" t="s">
        <v>498</v>
      </c>
      <c r="W44" s="1513" t="s">
        <v>499</v>
      </c>
      <c r="X44" s="1513" t="s">
        <v>498</v>
      </c>
      <c r="Y44" s="1513" t="s">
        <v>499</v>
      </c>
      <c r="Z44" s="1520" t="s">
        <v>462</v>
      </c>
      <c r="AA44" s="2335" t="s">
        <v>463</v>
      </c>
      <c r="AB44" s="2336"/>
      <c r="AC44" s="2344"/>
      <c r="AD44" s="2398"/>
      <c r="AE44" s="2399"/>
      <c r="AF44" s="2399"/>
      <c r="AG44" s="2400"/>
      <c r="AH44" s="2398"/>
      <c r="AI44" s="2399"/>
      <c r="AJ44" s="2399"/>
      <c r="AK44" s="2400"/>
      <c r="AL44" s="2398"/>
      <c r="AM44" s="2399"/>
      <c r="AN44" s="2399"/>
      <c r="AO44" s="2400"/>
      <c r="AP44" s="2398"/>
      <c r="AQ44" s="2399"/>
      <c r="AR44" s="2399"/>
      <c r="AS44" s="2400"/>
      <c r="AT44" s="1513" t="s">
        <v>498</v>
      </c>
      <c r="AU44" s="1513" t="s">
        <v>499</v>
      </c>
      <c r="AV44" s="1513" t="s">
        <v>498</v>
      </c>
      <c r="AW44" s="1513" t="s">
        <v>499</v>
      </c>
      <c r="AX44" s="1520" t="s">
        <v>462</v>
      </c>
      <c r="AY44" s="2335" t="s">
        <v>463</v>
      </c>
      <c r="AZ44" s="2336"/>
      <c r="BA44" s="2344"/>
      <c r="BB44" s="2347"/>
      <c r="BC44" s="2192"/>
      <c r="BI44" s="1220">
        <v>14</v>
      </c>
    </row>
    <row s="4094"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112</v>
      </c>
      <c r="T45" s="1320" t="s">
        <v>113</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265</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126</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265</v>
      </c>
      <c r="B47" s="1428" t="s">
        <v>266</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416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417</v>
      </c>
      <c r="BE47" s="565"/>
      <c r="BF47" s="565" t="str">
        <f>IF(T47="","",T47)</f>
        <v>Территория действия тарифа</v>
      </c>
      <c r="BG47" s="565"/>
      <c r="BH47" s="565"/>
      <c r="BI47" s="1220">
        <v>21</v>
      </c>
    </row>
    <row customHeight="1" ht="43.050000000000004">
      <c r="A48" s="1428" t="s">
        <v>265</v>
      </c>
      <c r="B48" s="1428" t="s">
        <v>266</v>
      </c>
      <c r="C48" s="1428" t="s">
        <v>267</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501</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502</v>
      </c>
      <c r="BE48" s="565"/>
      <c r="BF48" s="565" t="str">
        <f>IF(T48="","",T48)</f>
        <v>Наименование централизованной системы холодного водоснабжения</v>
      </c>
      <c r="BG48" s="565"/>
      <c r="BH48" s="565"/>
      <c r="BI48" s="1220">
        <v>41</v>
      </c>
    </row>
    <row s="4423" customFormat="1" customHeight="1" ht="0">
      <c r="A49" s="1408" t="s">
        <v>265</v>
      </c>
      <c r="B49" s="1408" t="s">
        <v>266</v>
      </c>
      <c r="C49" s="1408" t="s">
        <v>267</v>
      </c>
      <c r="D49" s="1408" t="s">
        <v>535</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421</v>
      </c>
      <c r="BE49" s="565"/>
      <c r="BF49" s="565" t="str">
        <f>IF(T49="","",T49)</f>
        <v/>
      </c>
      <c r="BG49" s="565"/>
      <c r="BH49" s="565"/>
      <c r="BI49" s="576">
        <v>0</v>
      </c>
    </row>
    <row s="4423" customFormat="1" customHeight="1" ht="0">
      <c r="A50" s="1408" t="s">
        <v>265</v>
      </c>
      <c r="B50" s="1408" t="s">
        <v>266</v>
      </c>
      <c r="C50" s="1408" t="s">
        <v>267</v>
      </c>
      <c r="D50" s="1408" t="s">
        <v>535</v>
      </c>
      <c r="E50" s="2324"/>
      <c r="F50" s="2324"/>
      <c r="G50" s="2324"/>
      <c r="H50" s="2324"/>
      <c r="I50" s="2321" t="str">
        <f>S49&amp;".1"</f>
        <v>.1</v>
      </c>
      <c r="J50" s="1408"/>
      <c r="K50" s="1408"/>
      <c r="L50" s="1411" t="s">
        <v>422</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423" customFormat="1" customHeight="1" ht="0">
      <c r="A51" s="1408" t="s">
        <v>265</v>
      </c>
      <c r="B51" s="1408" t="s">
        <v>266</v>
      </c>
      <c r="C51" s="1408" t="s">
        <v>267</v>
      </c>
      <c r="D51" s="1408" t="s">
        <v>535</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265</v>
      </c>
      <c r="B52" s="1428" t="s">
        <v>266</v>
      </c>
      <c r="C52" s="1428" t="s">
        <v>267</v>
      </c>
      <c r="D52" s="1428" t="s">
        <v>535</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64</v>
      </c>
      <c r="AB52" s="1799"/>
      <c r="AC52" s="1524" t="s">
        <v>64</v>
      </c>
      <c r="AD52" s="2250" t="s">
        <v>64</v>
      </c>
      <c r="AE52" s="2391"/>
      <c r="AF52" s="2270">
        <v>1</v>
      </c>
      <c r="AG52" s="2428"/>
      <c r="AH52" s="2172" t="s">
        <v>64</v>
      </c>
      <c r="AI52" s="2391"/>
      <c r="AJ52" s="2270">
        <v>1</v>
      </c>
      <c r="AK52" s="2392" t="s">
        <v>28</v>
      </c>
      <c r="AL52" s="2172" t="s">
        <v>64</v>
      </c>
      <c r="AM52" s="2257"/>
      <c r="AN52" s="2270">
        <v>1</v>
      </c>
      <c r="AO52" s="2422"/>
      <c r="AP52" s="2423" t="s">
        <v>64</v>
      </c>
      <c r="AQ52" s="376"/>
      <c r="AR52" s="1528">
        <v>1</v>
      </c>
      <c r="AS52" s="1531" t="s">
        <v>28</v>
      </c>
      <c r="AT52" s="816"/>
      <c r="AU52" s="1322"/>
      <c r="AV52" s="816"/>
      <c r="AW52" s="1322"/>
      <c r="AX52" s="1799"/>
      <c r="AY52" s="1524" t="s">
        <v>64</v>
      </c>
      <c r="AZ52" s="1799"/>
      <c r="BA52" s="1524" t="s">
        <v>64</v>
      </c>
      <c r="BB52" s="1413"/>
      <c r="BC52" s="2318" t="s">
        <v>521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522</v>
      </c>
      <c r="AT53" s="1458"/>
      <c r="AU53" s="1561"/>
      <c r="AV53" s="1458"/>
      <c r="AW53" s="1561"/>
      <c r="AX53" s="1458"/>
      <c r="AY53" s="1458"/>
      <c r="AZ53" s="1458"/>
      <c r="BA53" s="1458"/>
      <c r="BB53" s="1462"/>
      <c r="BC53" s="2319"/>
      <c r="BE53" s="565"/>
      <c r="BF53" s="565"/>
      <c r="BG53" s="565"/>
      <c r="BH53" s="565"/>
      <c r="BI53" s="1220">
        <v>11</v>
      </c>
    </row>
    <row customHeight="1" ht="11.549999999999999">
      <c r="A54" s="1428" t="s">
        <v>265</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265</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265</v>
      </c>
      <c r="B56" s="1428" t="s">
        <v>266</v>
      </c>
      <c r="C56" s="1428" t="s">
        <v>267</v>
      </c>
      <c r="D56" s="1428" t="s">
        <v>535</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525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265</v>
      </c>
      <c r="B57" s="1428" t="s">
        <v>266</v>
      </c>
      <c r="C57" s="1428" t="s">
        <v>267</v>
      </c>
      <c r="D57" s="1428" t="s">
        <v>535</v>
      </c>
      <c r="E57" s="2324"/>
      <c r="F57" s="2324"/>
      <c r="G57" s="2324"/>
      <c r="H57" s="2324"/>
      <c r="I57" s="2351"/>
      <c r="J57" s="2321"/>
      <c r="K57" s="1428"/>
      <c r="L57" s="1429"/>
      <c r="P57" s="2322"/>
      <c r="Q57" s="2322"/>
      <c r="R57" s="421"/>
      <c r="S57" s="1343"/>
      <c r="T57" s="352" t="s">
        <v>488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423" customFormat="1" customHeight="1" ht="0">
      <c r="A58" s="1408" t="s">
        <v>265</v>
      </c>
      <c r="B58" s="1408" t="s">
        <v>266</v>
      </c>
      <c r="C58" s="1408" t="s">
        <v>267</v>
      </c>
      <c r="D58" s="1408" t="s">
        <v>535</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423" customFormat="1" customHeight="1" ht="0">
      <c r="A59" s="1408" t="s">
        <v>265</v>
      </c>
      <c r="B59" s="1408" t="s">
        <v>266</v>
      </c>
      <c r="C59" s="1408" t="s">
        <v>267</v>
      </c>
      <c r="D59" s="1408" t="s">
        <v>535</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423" customFormat="1" customHeight="1" ht="0">
      <c r="A60" s="1408" t="s">
        <v>265</v>
      </c>
      <c r="B60" s="1408" t="s">
        <v>266</v>
      </c>
      <c r="C60" s="1408" t="s">
        <v>267</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423" customFormat="1" customHeight="1" ht="0">
      <c r="A61" s="1408" t="s">
        <v>265</v>
      </c>
      <c r="B61" s="1408" t="s">
        <v>266</v>
      </c>
      <c r="C61" s="1379"/>
      <c r="D61" s="1379"/>
      <c r="E61" s="2324"/>
      <c r="F61" s="2323"/>
      <c r="G61" s="1379"/>
      <c r="H61" s="1379"/>
      <c r="I61" s="1379"/>
      <c r="J61" s="1379"/>
      <c r="K61" s="1379"/>
      <c r="L61" s="1529"/>
      <c r="M61" s="1386"/>
      <c r="N61" s="1386"/>
      <c r="P61" s="1381"/>
      <c r="Q61" s="1382"/>
      <c r="R61" s="1381"/>
      <c r="S61" s="1387"/>
      <c r="T61" s="1390" t="s">
        <v>166</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423" customFormat="1" customHeight="1" ht="0">
      <c r="A62" s="1408" t="s">
        <v>265</v>
      </c>
      <c r="B62" s="1408"/>
      <c r="C62" s="1408"/>
      <c r="D62" s="1408"/>
      <c r="E62" s="2323"/>
      <c r="F62" s="1408"/>
      <c r="G62" s="1408"/>
      <c r="H62" s="1408"/>
      <c r="I62" s="1408"/>
      <c r="J62" s="1408"/>
      <c r="K62" s="1408"/>
      <c r="L62" s="1411"/>
      <c r="M62" s="1386"/>
      <c r="N62" s="1386"/>
      <c r="O62" s="583"/>
      <c r="P62" s="445"/>
      <c r="Q62" s="1409"/>
      <c r="R62" s="445"/>
      <c r="S62" s="1387"/>
      <c r="T62" s="1390" t="s">
        <v>167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423"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168</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85</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8A582-FE73-9F97-32F2-AFAFC3BDE9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4.140625" hidden="1" customWidth="1"/>
    <col min="10" max="10" style="4903" width="9.8515625" hidden="1" customWidth="1"/>
    <col min="11" max="11" style="4903" width="14.71093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5.00390625" customWidth="1"/>
    <col min="21" max="21" style="4921" width="0.140625" customWidth="1"/>
    <col min="22" max="24" style="4921" width="24.7109375" hidden="1" customWidth="1"/>
    <col min="25" max="25" style="4921" width="11.7109375" hidden="1" customWidth="1"/>
    <col min="26" max="26" style="4921" width="3.7109375" hidden="1" customWidth="1"/>
    <col min="27" max="27" style="4921" width="11.7109375" hidden="1" customWidth="1"/>
    <col min="28" max="28" style="4921" width="8.57421875" hidden="1" customWidth="1"/>
    <col min="29" max="29" style="4921" width="24.7109375" customWidth="1"/>
    <col min="30" max="31" style="4921" width="24.00390625" customWidth="1"/>
    <col min="32" max="32" style="4921" width="11.00390625" customWidth="1"/>
    <col min="33" max="33" style="4921" width="3.7109375" customWidth="1"/>
    <col min="34" max="34" style="4921" width="11.00390625" customWidth="1"/>
    <col min="35" max="35" style="4921" width="8.57421875" hidden="1" customWidth="1"/>
    <col min="36" max="36" style="4921" width="4.00390625" customWidth="1"/>
    <col min="37" max="37" style="4921" width="115.00390625" customWidth="1"/>
    <col min="38" max="42" style="4423" width="10.00390625" customWidth="1"/>
    <col min="43" max="43" style="4921"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537</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503</v>
      </c>
      <c r="U5" s="365"/>
      <c r="V5" s="2415"/>
      <c r="W5" s="2416"/>
      <c r="X5" s="2416"/>
      <c r="Y5" s="2416"/>
      <c r="Z5" s="2416"/>
      <c r="AA5" s="2416"/>
      <c r="AB5" s="2417"/>
      <c r="AC5" s="2418"/>
      <c r="AD5" s="2419"/>
      <c r="AE5" s="2419"/>
      <c r="AF5" s="2419"/>
      <c r="AG5" s="2419"/>
      <c r="AH5" s="2419"/>
      <c r="AI5" s="2419"/>
      <c r="AJ5" s="2420"/>
      <c r="AK5" s="1323" t="s">
        <v>504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425</v>
      </c>
      <c r="P6" s="2322"/>
      <c r="Q6" s="2322">
        <v>1</v>
      </c>
      <c r="R6" s="422"/>
      <c r="S6" s="1558">
        <f>$J6</f>
      </c>
      <c r="T6" s="351" t="s">
        <v>426</v>
      </c>
      <c r="U6" s="365"/>
      <c r="V6" s="2310"/>
      <c r="W6" s="2311"/>
      <c r="X6" s="2311"/>
      <c r="Y6" s="2311"/>
      <c r="Z6" s="2311"/>
      <c r="AA6" s="2311"/>
      <c r="AB6" s="2312"/>
      <c r="AC6" s="2310"/>
      <c r="AD6" s="2311"/>
      <c r="AE6" s="2311"/>
      <c r="AF6" s="2311"/>
      <c r="AG6" s="2311"/>
      <c r="AH6" s="2311"/>
      <c r="AI6" s="2311"/>
      <c r="AJ6" s="2312"/>
      <c r="AK6" s="1372" t="s">
        <v>505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506</v>
      </c>
      <c r="U9" s="432"/>
      <c r="V9" s="432"/>
      <c r="W9" s="432"/>
      <c r="X9" s="432"/>
      <c r="Y9" s="432"/>
      <c r="Z9" s="432"/>
      <c r="AA9" s="432"/>
      <c r="AB9" s="432"/>
      <c r="AC9" s="432"/>
      <c r="AD9" s="432"/>
      <c r="AE9" s="432"/>
      <c r="AF9" s="432"/>
      <c r="AG9" s="432"/>
      <c r="AH9" s="432"/>
      <c r="AI9" s="432"/>
      <c r="AJ9" s="432"/>
      <c r="AK9" s="1323" t="s">
        <v>507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431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3"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3"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903" customFormat="1" customHeight="1" ht="22.5" hidden="1">
      <c r="L18" s="1543"/>
      <c r="M18" s="1427"/>
      <c r="N18" s="1427"/>
      <c r="O18" s="1432" t="s">
        <v>433</v>
      </c>
      <c r="P18" s="1427"/>
      <c r="Q18" s="1436"/>
      <c r="R18" s="1436"/>
      <c r="S18" s="794"/>
      <c r="Y18" s="1432"/>
      <c r="AA18" s="1432"/>
      <c r="AB18" s="1431"/>
      <c r="AF18" s="1432"/>
      <c r="AH18" s="1432"/>
      <c r="AI18" s="1431"/>
      <c r="AL18" s="576"/>
      <c r="AM18" s="576"/>
      <c r="AN18" s="576"/>
      <c r="AO18" s="576"/>
      <c r="AP18" s="576"/>
      <c r="AQ18" s="1225">
        <v>0</v>
      </c>
    </row>
    <row s="4903" customFormat="1" customHeight="1" ht="14.25" hidden="1">
      <c r="L19" s="1543"/>
      <c r="M19" s="1427"/>
      <c r="N19" s="1427"/>
      <c r="O19" s="1427"/>
      <c r="P19" s="1427"/>
      <c r="Q19" s="1436"/>
      <c r="R19" s="1436"/>
      <c r="S19" s="794"/>
      <c r="AB19" s="1431"/>
      <c r="AI19" s="1431"/>
      <c r="AL19" s="576"/>
      <c r="AM19" s="576"/>
      <c r="AN19" s="576"/>
      <c r="AO19" s="576"/>
      <c r="AP19" s="576"/>
      <c r="AQ19" s="1225">
        <v>0</v>
      </c>
    </row>
    <row s="4903" customFormat="1" customHeight="1" ht="12" hidden="1">
      <c r="L20" s="1543"/>
      <c r="M20" s="1427"/>
      <c r="N20" s="1427"/>
      <c r="O20" s="1429" t="s">
        <v>434</v>
      </c>
      <c r="P20" s="1427"/>
      <c r="Q20" s="1507"/>
      <c r="R20" s="1507"/>
      <c r="S20" s="794"/>
      <c r="T20" s="1225" t="s">
        <v>435</v>
      </c>
      <c r="Z20" s="251" t="s">
        <v>436</v>
      </c>
      <c r="AB20" s="251" t="s">
        <v>437</v>
      </c>
      <c r="AC20" s="1225" t="s">
        <v>435</v>
      </c>
      <c r="AG20" s="251" t="s">
        <v>438</v>
      </c>
      <c r="AI20" s="251" t="s">
        <v>437</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5"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485" customFormat="1" customHeight="1" ht="18.75">
      <c r="A28" s="1433"/>
      <c r="B28" s="1433"/>
      <c r="C28" s="1433"/>
      <c r="D28" s="1433"/>
      <c r="E28" s="1433"/>
      <c r="F28" s="1433"/>
      <c r="G28" s="1433"/>
      <c r="H28" s="1433"/>
      <c r="I28" s="1433"/>
      <c r="J28" s="1433"/>
      <c r="K28" s="1433"/>
      <c r="L28" s="1434"/>
      <c r="M28" s="1433"/>
      <c r="N28" s="1433"/>
      <c r="O28" s="1433"/>
      <c r="S28" s="2315" t="s">
        <v>439</v>
      </c>
      <c r="T28" s="2315"/>
      <c r="U28" s="1437"/>
      <c r="V28" s="2329" t="str">
        <f>IF(TITLE_DATE_PR_CHANGE="",IF(TITLE_DATE_PR="","",TITLE_DATE_PR),TITLE_DATE_PR_CHANGE)</f>
        <v>45643.434652777774</v>
      </c>
      <c r="W28" s="2329"/>
      <c r="X28" s="2329"/>
      <c r="Y28" s="2329"/>
      <c r="Z28" s="2329"/>
      <c r="AA28" s="2329"/>
      <c r="AB28" s="391"/>
      <c r="AC28" s="2329" t="str">
        <f>IF(TITLE_DATE_PR_CHANGE="",IF(TITLE_DATE_PR="","",TITLE_DATE_PR),TITLE_DATE_PR_CHANGE)</f>
        <v>45643.434652777774</v>
      </c>
      <c r="AD28" s="2329"/>
      <c r="AE28" s="2329"/>
      <c r="AF28" s="2329"/>
      <c r="AG28" s="2329"/>
      <c r="AH28" s="2329"/>
      <c r="AI28" s="391"/>
      <c r="AJ28" s="391"/>
      <c r="AK28" s="345"/>
      <c r="AL28" s="433"/>
      <c r="AM28" s="433"/>
      <c r="AN28" s="433"/>
      <c r="AO28" s="433"/>
      <c r="AP28" s="433"/>
      <c r="AQ28" s="483">
        <v>0</v>
      </c>
    </row>
    <row s="5485" customFormat="1" customHeight="1" ht="18.75">
      <c r="A29" s="1433"/>
      <c r="B29" s="1433"/>
      <c r="C29" s="1433"/>
      <c r="D29" s="1433"/>
      <c r="E29" s="1433"/>
      <c r="F29" s="1433"/>
      <c r="G29" s="1433"/>
      <c r="H29" s="1433"/>
      <c r="I29" s="1433"/>
      <c r="J29" s="1433"/>
      <c r="K29" s="1433"/>
      <c r="L29" s="1434"/>
      <c r="M29" s="1433"/>
      <c r="N29" s="1433"/>
      <c r="O29" s="1433"/>
      <c r="S29" s="2315" t="s">
        <v>440</v>
      </c>
      <c r="T29" s="2315"/>
      <c r="U29" s="1437"/>
      <c r="V29" s="2316" t="str">
        <f>IF(TITLE_NUMBER_PR_CHANGE="",IF(TITLE_NUMBER_PR="","",TITLE_NUMBER_PR),TITLE_NUMBER_PR_CHANGE)</f>
        <v>71/2</v>
      </c>
      <c r="W29" s="2316"/>
      <c r="X29" s="2316"/>
      <c r="Y29" s="2316"/>
      <c r="Z29" s="2316"/>
      <c r="AA29" s="2316"/>
      <c r="AB29" s="391"/>
      <c r="AC29" s="2316" t="str">
        <f>IF(TITLE_NUMBER_PR_CHANGE="",IF(TITLE_NUMBER_PR="","",TITLE_NUMBER_PR),TITLE_NUMBER_PR_CHANGE)</f>
        <v>71/2</v>
      </c>
      <c r="AD29" s="2316"/>
      <c r="AE29" s="2316"/>
      <c r="AF29" s="2316"/>
      <c r="AG29" s="2316"/>
      <c r="AH29" s="2316"/>
      <c r="AI29" s="391"/>
      <c r="AJ29" s="391"/>
      <c r="AK29" s="345"/>
      <c r="AL29" s="433"/>
      <c r="AM29" s="433"/>
      <c r="AN29" s="433"/>
      <c r="AO29" s="433"/>
      <c r="AP29" s="433"/>
      <c r="AQ29" s="483">
        <v>0</v>
      </c>
    </row>
    <row s="5485"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Официальный интернет-портал правовой информации Ставропольского края</v>
      </c>
      <c r="W30" s="2316"/>
      <c r="X30" s="2316"/>
      <c r="Y30" s="2316"/>
      <c r="Z30" s="2316"/>
      <c r="AA30" s="2316"/>
      <c r="AB30" s="391"/>
      <c r="AC30" s="2316" t="str">
        <f>IF(TITLE_IST_PUB_CHANGE="",IF(TITLE_IST_PUB="","",TITLE_IST_PUB),TITLE_IST_PUB_CHANGE)</f>
        <v>Официальный интернет-портал правовой информации Ставропольского края</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5" customFormat="1" customHeight="1" ht="18.75" hidden="1">
      <c r="A32" s="1433"/>
      <c r="B32" s="1433"/>
      <c r="C32" s="1433"/>
      <c r="D32" s="1433"/>
      <c r="E32" s="1433"/>
      <c r="F32" s="1433"/>
      <c r="G32" s="1433"/>
      <c r="H32" s="1433"/>
      <c r="I32" s="1433"/>
      <c r="J32" s="1433"/>
      <c r="K32" s="1433"/>
      <c r="L32" s="1434"/>
      <c r="M32" s="1433"/>
      <c r="N32" s="1433"/>
      <c r="O32" s="1433"/>
      <c r="S32" s="2315" t="s">
        <v>441</v>
      </c>
      <c r="T32" s="2315"/>
      <c r="U32" s="1437"/>
      <c r="V32" s="2329" t="str">
        <f>IF(TITLE_DATE_PR_CHANGE="",IF(TITLE_DATE_PR="","",TITLE_DATE_PR),TITLE_DATE_PR_CHANGE)</f>
        <v>45643.434652777774</v>
      </c>
      <c r="W32" s="2329"/>
      <c r="X32" s="2329"/>
      <c r="Y32" s="2329"/>
      <c r="Z32" s="2329"/>
      <c r="AA32" s="2329"/>
      <c r="AB32" s="391"/>
      <c r="AC32" s="2329" t="str">
        <f>IF(TITLE_DATE_PR_CHANGE="",IF(TITLE_DATE_PR="","",TITLE_DATE_PR),TITLE_DATE_PR_CHANGE)</f>
        <v>45643.434652777774</v>
      </c>
      <c r="AD32" s="2329"/>
      <c r="AE32" s="2329"/>
      <c r="AF32" s="2329"/>
      <c r="AG32" s="2329"/>
      <c r="AH32" s="2329"/>
      <c r="AI32" s="391"/>
      <c r="AJ32" s="391"/>
      <c r="AK32" s="345"/>
      <c r="AL32" s="433"/>
      <c r="AM32" s="433"/>
      <c r="AN32" s="433"/>
      <c r="AO32" s="433"/>
      <c r="AP32" s="433"/>
      <c r="AQ32" s="483">
        <v>0</v>
      </c>
    </row>
    <row s="5485" customFormat="1" customHeight="1" ht="18.75" hidden="1">
      <c r="A33" s="1433"/>
      <c r="B33" s="1433"/>
      <c r="C33" s="1433"/>
      <c r="D33" s="1433"/>
      <c r="E33" s="1433"/>
      <c r="F33" s="1433"/>
      <c r="G33" s="1433"/>
      <c r="H33" s="1433"/>
      <c r="I33" s="1433"/>
      <c r="J33" s="1433"/>
      <c r="K33" s="1433"/>
      <c r="L33" s="1434"/>
      <c r="M33" s="1433"/>
      <c r="N33" s="1433"/>
      <c r="O33" s="1433"/>
      <c r="S33" s="2315" t="s">
        <v>442</v>
      </c>
      <c r="T33" s="2315"/>
      <c r="U33" s="1437"/>
      <c r="V33" s="2316" t="str">
        <f>IF(TITLE_NUMBER_PR_CHANGE="",IF(TITLE_NUMBER_PR="","",TITLE_NUMBER_PR),TITLE_NUMBER_PR_CHANGE)</f>
        <v>71/2</v>
      </c>
      <c r="W33" s="2316"/>
      <c r="X33" s="2316"/>
      <c r="Y33" s="2316"/>
      <c r="Z33" s="2316"/>
      <c r="AA33" s="2316"/>
      <c r="AB33" s="391"/>
      <c r="AC33" s="2316" t="str">
        <f>IF(TITLE_NUMBER_PR_CHANGE="",IF(TITLE_NUMBER_PR="","",TITLE_NUMBER_PR),TITLE_NUMBER_PR_CHANGE)</f>
        <v>71/2</v>
      </c>
      <c r="AD33" s="2316"/>
      <c r="AE33" s="2316"/>
      <c r="AF33" s="2316"/>
      <c r="AG33" s="2316"/>
      <c r="AH33" s="2316"/>
      <c r="AI33" s="391"/>
      <c r="AJ33" s="391"/>
      <c r="AK33" s="345"/>
      <c r="AL33" s="433"/>
      <c r="AM33" s="433"/>
      <c r="AN33" s="433"/>
      <c r="AO33" s="433"/>
      <c r="AP33" s="433"/>
      <c r="AQ33" s="483">
        <v>0</v>
      </c>
    </row>
    <row s="5485"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443</v>
      </c>
      <c r="AC34" s="391"/>
      <c r="AD34" s="391"/>
      <c r="AE34" s="391"/>
      <c r="AF34" s="391"/>
      <c r="AG34" s="391"/>
      <c r="AH34" s="391"/>
      <c r="AI34" s="343" t="s">
        <v>443</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319</v>
      </c>
      <c r="T36" s="2192"/>
      <c r="U36" s="2192"/>
      <c r="V36" s="2192"/>
      <c r="W36" s="2192"/>
      <c r="X36" s="2192"/>
      <c r="Y36" s="2192"/>
      <c r="Z36" s="2192"/>
      <c r="AA36" s="2192"/>
      <c r="AB36" s="2192"/>
      <c r="AC36" s="2192"/>
      <c r="AD36" s="2192"/>
      <c r="AE36" s="2192"/>
      <c r="AF36" s="2192"/>
      <c r="AG36" s="2192"/>
      <c r="AH36" s="2192"/>
      <c r="AI36" s="2192"/>
      <c r="AJ36" s="2192"/>
      <c r="AK36" s="2192" t="s">
        <v>320</v>
      </c>
      <c r="AQ36" s="1220">
        <v>14</v>
      </c>
    </row>
    <row customHeight="1" ht="14.699999999999998">
      <c r="Q37" s="441"/>
      <c r="R37" s="441"/>
      <c r="S37" s="2338" t="s">
        <v>91</v>
      </c>
      <c r="T37" s="2274" t="s">
        <v>444</v>
      </c>
      <c r="U37" s="366"/>
      <c r="V37" s="2339" t="s">
        <v>445</v>
      </c>
      <c r="W37" s="2340"/>
      <c r="X37" s="2340"/>
      <c r="Y37" s="2340"/>
      <c r="Z37" s="2340"/>
      <c r="AA37" s="2341"/>
      <c r="AB37" s="2342" t="s">
        <v>446</v>
      </c>
      <c r="AC37" s="2339" t="s">
        <v>445</v>
      </c>
      <c r="AD37" s="2340"/>
      <c r="AE37" s="2340"/>
      <c r="AF37" s="2340"/>
      <c r="AG37" s="2340"/>
      <c r="AH37" s="2341"/>
      <c r="AI37" s="2342" t="s">
        <v>447</v>
      </c>
      <c r="AJ37" s="2345" t="s">
        <v>448</v>
      </c>
      <c r="AK37" s="2192"/>
      <c r="AQ37" s="1220">
        <v>14</v>
      </c>
    </row>
    <row customHeight="1" ht="35.699999999999996">
      <c r="Q38" s="441"/>
      <c r="R38" s="441"/>
      <c r="S38" s="2338"/>
      <c r="T38" s="2274"/>
      <c r="U38" s="1096"/>
      <c r="V38" s="1548" t="s">
        <v>509</v>
      </c>
      <c r="W38" s="2327" t="s">
        <v>451</v>
      </c>
      <c r="X38" s="2328"/>
      <c r="Y38" s="2327" t="s">
        <v>452</v>
      </c>
      <c r="Z38" s="2334"/>
      <c r="AA38" s="2328"/>
      <c r="AB38" s="2343"/>
      <c r="AC38" s="1548" t="s">
        <v>509</v>
      </c>
      <c r="AD38" s="2327" t="s">
        <v>451</v>
      </c>
      <c r="AE38" s="2328"/>
      <c r="AF38" s="2327" t="s">
        <v>452</v>
      </c>
      <c r="AG38" s="2334"/>
      <c r="AH38" s="2328"/>
      <c r="AI38" s="2343"/>
      <c r="AJ38" s="2346"/>
      <c r="AK38" s="2192"/>
      <c r="AQ38" s="1220">
        <v>34</v>
      </c>
    </row>
    <row customHeight="1" ht="90.3">
      <c r="A39" s="1435"/>
      <c r="B39" s="1435" t="s">
        <v>138</v>
      </c>
      <c r="C39" s="1435" t="s">
        <v>139</v>
      </c>
      <c r="D39" s="1435" t="s">
        <v>140</v>
      </c>
      <c r="E39" s="1429" t="s">
        <v>453</v>
      </c>
      <c r="F39" s="1429" t="s">
        <v>454</v>
      </c>
      <c r="G39" s="1429" t="s">
        <v>455</v>
      </c>
      <c r="H39" s="1429"/>
      <c r="I39" s="1429" t="s">
        <v>510</v>
      </c>
      <c r="J39" s="1429" t="s">
        <v>458</v>
      </c>
      <c r="K39" s="1429" t="s">
        <v>511</v>
      </c>
      <c r="L39" s="1429" t="s">
        <v>434</v>
      </c>
      <c r="Q39" s="441"/>
      <c r="R39" s="441"/>
      <c r="S39" s="2338"/>
      <c r="T39" s="2274"/>
      <c r="U39" s="367"/>
      <c r="V39" s="1548" t="s">
        <v>538</v>
      </c>
      <c r="W39" s="1287" t="s">
        <v>539</v>
      </c>
      <c r="X39" s="1287" t="s">
        <v>514</v>
      </c>
      <c r="Y39" s="1554" t="s">
        <v>462</v>
      </c>
      <c r="Z39" s="2335" t="s">
        <v>463</v>
      </c>
      <c r="AA39" s="2336"/>
      <c r="AB39" s="2344"/>
      <c r="AC39" s="1548" t="s">
        <v>538</v>
      </c>
      <c r="AD39" s="1287" t="s">
        <v>539</v>
      </c>
      <c r="AE39" s="1287" t="s">
        <v>514</v>
      </c>
      <c r="AF39" s="1554" t="s">
        <v>462</v>
      </c>
      <c r="AG39" s="2335" t="s">
        <v>463</v>
      </c>
      <c r="AH39" s="2336"/>
      <c r="AI39" s="2344"/>
      <c r="AJ39" s="2347"/>
      <c r="AK39" s="2192"/>
      <c r="AQ39" s="1220">
        <v>86</v>
      </c>
    </row>
    <row s="4094"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112</v>
      </c>
      <c r="T40" s="1320" t="s">
        <v>113</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285</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285</v>
      </c>
      <c r="B42" s="1428" t="s">
        <v>286</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416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417</v>
      </c>
      <c r="AM42" s="565"/>
      <c r="AN42" s="565" t="str">
        <f>IF(T42="","",T42)</f>
        <v>Территория действия тарифа</v>
      </c>
      <c r="AO42" s="565"/>
      <c r="AP42" s="565"/>
      <c r="AQ42" s="1220">
        <v>23</v>
      </c>
    </row>
    <row customHeight="1" ht="24">
      <c r="A43" s="1428" t="s">
        <v>285</v>
      </c>
      <c r="B43" s="1428" t="s">
        <v>286</v>
      </c>
      <c r="C43" s="1428" t="s">
        <v>287</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536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537</v>
      </c>
      <c r="AM43" s="565"/>
      <c r="AN43" s="565" t="str">
        <f>IF(T43="","",T43)</f>
        <v>Наименование централизованной системы водоотведения</v>
      </c>
      <c r="AO43" s="565"/>
      <c r="AP43" s="565"/>
      <c r="AQ43" s="1220">
        <v>23</v>
      </c>
    </row>
    <row customHeight="1" ht="24">
      <c r="A44" s="1428" t="s">
        <v>285</v>
      </c>
      <c r="B44" s="1428" t="s">
        <v>286</v>
      </c>
      <c r="C44" s="1428" t="s">
        <v>287</v>
      </c>
      <c r="D44" s="1428" t="s">
        <v>540</v>
      </c>
      <c r="E44" s="2324"/>
      <c r="F44" s="2324"/>
      <c r="G44" s="2324"/>
      <c r="H44" s="2324"/>
      <c r="I44" s="2321" t="str">
        <f>S43&amp;".1"</f>
        <v>...1</v>
      </c>
      <c r="J44" s="1428"/>
      <c r="K44" s="1428"/>
      <c r="L44" s="1429"/>
      <c r="P44" s="2322">
        <v>1</v>
      </c>
      <c r="Q44" s="1546"/>
      <c r="R44" s="421"/>
      <c r="S44" s="1558" t="str">
        <f>$I44</f>
        <v>...1</v>
      </c>
      <c r="T44" s="350" t="s">
        <v>503</v>
      </c>
      <c r="U44" s="365"/>
      <c r="V44" s="2415"/>
      <c r="W44" s="2416"/>
      <c r="X44" s="2416"/>
      <c r="Y44" s="2416"/>
      <c r="Z44" s="2416"/>
      <c r="AA44" s="2416"/>
      <c r="AB44" s="2417"/>
      <c r="AC44" s="2418"/>
      <c r="AD44" s="2419"/>
      <c r="AE44" s="2419"/>
      <c r="AF44" s="2419"/>
      <c r="AG44" s="2419"/>
      <c r="AH44" s="2419"/>
      <c r="AI44" s="2419"/>
      <c r="AJ44" s="2420"/>
      <c r="AK44" s="1323" t="s">
        <v>504</v>
      </c>
      <c r="AM44" s="565"/>
      <c r="AN44" s="565" t="str">
        <f>IF(T44="","",T44)</f>
        <v>Наименование признака дифференциации</v>
      </c>
      <c r="AO44" s="565"/>
      <c r="AP44" s="565"/>
      <c r="AQ44" s="1220">
        <v>23</v>
      </c>
    </row>
    <row customHeight="1" ht="24">
      <c r="A45" s="1428" t="s">
        <v>285</v>
      </c>
      <c r="B45" s="1428" t="s">
        <v>286</v>
      </c>
      <c r="C45" s="1428" t="s">
        <v>287</v>
      </c>
      <c r="D45" s="1428" t="s">
        <v>540</v>
      </c>
      <c r="E45" s="2324"/>
      <c r="F45" s="2324"/>
      <c r="G45" s="2324"/>
      <c r="H45" s="2324"/>
      <c r="I45" s="2351"/>
      <c r="J45" s="2321" t="str">
        <f>I44&amp;".1"</f>
        <v>...1.1</v>
      </c>
      <c r="K45" s="1428"/>
      <c r="L45" s="1429" t="s">
        <v>425</v>
      </c>
      <c r="P45" s="2322"/>
      <c r="Q45" s="2322">
        <v>1</v>
      </c>
      <c r="R45" s="422"/>
      <c r="S45" s="1558" t="str">
        <f>$J45</f>
        <v>...1.1</v>
      </c>
      <c r="T45" s="351" t="s">
        <v>426</v>
      </c>
      <c r="U45" s="365"/>
      <c r="V45" s="2310"/>
      <c r="W45" s="2311"/>
      <c r="X45" s="2311"/>
      <c r="Y45" s="2311"/>
      <c r="Z45" s="2311"/>
      <c r="AA45" s="2311"/>
      <c r="AB45" s="2312"/>
      <c r="AC45" s="2310"/>
      <c r="AD45" s="2311"/>
      <c r="AE45" s="2311"/>
      <c r="AF45" s="2311"/>
      <c r="AG45" s="2311"/>
      <c r="AH45" s="2311"/>
      <c r="AI45" s="2311"/>
      <c r="AJ45" s="2312"/>
      <c r="AK45" s="1372" t="s">
        <v>505</v>
      </c>
      <c r="AM45" s="565"/>
      <c r="AN45" s="565" t="str">
        <f>IF(T45="","",T45)</f>
        <v>Группа потребителей</v>
      </c>
      <c r="AO45" s="565"/>
      <c r="AP45" s="565"/>
      <c r="AQ45" s="1220">
        <v>23</v>
      </c>
    </row>
    <row customHeight="1" ht="24">
      <c r="A46" s="1428" t="s">
        <v>285</v>
      </c>
      <c r="B46" s="1428" t="s">
        <v>286</v>
      </c>
      <c r="C46" s="1428" t="s">
        <v>287</v>
      </c>
      <c r="D46" s="1428" t="s">
        <v>540</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64</v>
      </c>
      <c r="AA46" s="2332"/>
      <c r="AB46" s="2333" t="s">
        <v>64</v>
      </c>
      <c r="AC46" s="816"/>
      <c r="AD46" s="816"/>
      <c r="AE46" s="1322"/>
      <c r="AF46" s="2330"/>
      <c r="AG46" s="2172" t="s">
        <v>64</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285</v>
      </c>
      <c r="B47" s="1428" t="s">
        <v>286</v>
      </c>
      <c r="C47" s="1428" t="s">
        <v>287</v>
      </c>
      <c r="D47" s="1428" t="s">
        <v>540</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285</v>
      </c>
      <c r="B48" s="1428" t="s">
        <v>286</v>
      </c>
      <c r="C48" s="1428" t="s">
        <v>287</v>
      </c>
      <c r="D48" s="1428" t="s">
        <v>540</v>
      </c>
      <c r="E48" s="2324"/>
      <c r="F48" s="2324"/>
      <c r="G48" s="2324"/>
      <c r="H48" s="2324"/>
      <c r="I48" s="2351"/>
      <c r="J48" s="2321"/>
      <c r="K48" s="1428"/>
      <c r="L48" s="1429"/>
      <c r="P48" s="2322"/>
      <c r="Q48" s="2322"/>
      <c r="R48" s="421"/>
      <c r="S48" s="1343"/>
      <c r="T48" s="352" t="s">
        <v>506</v>
      </c>
      <c r="U48" s="432"/>
      <c r="V48" s="432"/>
      <c r="W48" s="432"/>
      <c r="X48" s="432"/>
      <c r="Y48" s="432"/>
      <c r="Z48" s="432"/>
      <c r="AA48" s="432"/>
      <c r="AB48" s="432"/>
      <c r="AC48" s="432"/>
      <c r="AD48" s="432"/>
      <c r="AE48" s="432"/>
      <c r="AF48" s="432"/>
      <c r="AG48" s="432"/>
      <c r="AH48" s="432"/>
      <c r="AI48" s="432"/>
      <c r="AJ48" s="432"/>
      <c r="AK48" s="1323" t="s">
        <v>507</v>
      </c>
      <c r="AM48" s="565"/>
      <c r="AN48" s="565" t="str">
        <f>IF(T48="","",T48)</f>
        <v>Добавить значение признака дифференциации</v>
      </c>
      <c r="AO48" s="565"/>
      <c r="AP48" s="565"/>
      <c r="AQ48" s="1220">
        <v>20</v>
      </c>
    </row>
    <row customHeight="1" ht="22.049999999999997">
      <c r="A49" s="1428" t="s">
        <v>285</v>
      </c>
      <c r="B49" s="1428" t="s">
        <v>286</v>
      </c>
      <c r="C49" s="1428" t="s">
        <v>287</v>
      </c>
      <c r="D49" s="1428" t="s">
        <v>540</v>
      </c>
      <c r="E49" s="2324"/>
      <c r="F49" s="2324"/>
      <c r="G49" s="2324"/>
      <c r="H49" s="2324"/>
      <c r="I49" s="2321"/>
      <c r="J49" s="1428"/>
      <c r="K49" s="1428"/>
      <c r="L49" s="1429"/>
      <c r="P49" s="2322"/>
      <c r="Q49" s="1546"/>
      <c r="R49" s="421"/>
      <c r="S49" s="1343"/>
      <c r="T49" s="430" t="s">
        <v>431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285</v>
      </c>
      <c r="B50" s="1428" t="s">
        <v>286</v>
      </c>
      <c r="C50" s="1428" t="s">
        <v>287</v>
      </c>
      <c r="D50" s="1428" t="s">
        <v>540</v>
      </c>
      <c r="E50" s="2324"/>
      <c r="F50" s="2324"/>
      <c r="G50" s="2324"/>
      <c r="H50" s="2323"/>
      <c r="I50" s="1428"/>
      <c r="J50" s="1428"/>
      <c r="K50" s="1428"/>
      <c r="L50" s="1429"/>
      <c r="M50" s="1430"/>
      <c r="N50" s="1430"/>
      <c r="O50" s="602"/>
      <c r="P50" s="425"/>
      <c r="Q50" s="440"/>
      <c r="R50" s="420"/>
      <c r="S50" s="1343"/>
      <c r="T50" s="437" t="s">
        <v>508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3" customFormat="1" customHeight="1" ht="0">
      <c r="A51" s="1408" t="s">
        <v>285</v>
      </c>
      <c r="B51" s="1408" t="s">
        <v>286</v>
      </c>
      <c r="C51" s="1379"/>
      <c r="D51" s="1379"/>
      <c r="E51" s="2324"/>
      <c r="F51" s="2323"/>
      <c r="G51" s="1379"/>
      <c r="H51" s="1379"/>
      <c r="I51" s="1379"/>
      <c r="J51" s="1379"/>
      <c r="K51" s="1379"/>
      <c r="L51" s="1559"/>
      <c r="M51" s="1386"/>
      <c r="N51" s="1386"/>
      <c r="P51" s="1381"/>
      <c r="Q51" s="1382"/>
      <c r="R51" s="1381"/>
      <c r="S51" s="1387"/>
      <c r="T51" s="1390" t="s">
        <v>166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3" customFormat="1" customHeight="1" ht="0">
      <c r="A52" s="1408" t="s">
        <v>285</v>
      </c>
      <c r="B52" s="1408"/>
      <c r="C52" s="1408"/>
      <c r="D52" s="1408"/>
      <c r="E52" s="2323"/>
      <c r="F52" s="1408"/>
      <c r="G52" s="1408"/>
      <c r="H52" s="1408"/>
      <c r="I52" s="1408"/>
      <c r="J52" s="1408"/>
      <c r="K52" s="1408"/>
      <c r="L52" s="1411"/>
      <c r="M52" s="1386"/>
      <c r="N52" s="1386"/>
      <c r="O52" s="583"/>
      <c r="P52" s="445"/>
      <c r="Q52" s="1409"/>
      <c r="R52" s="445"/>
      <c r="S52" s="1387"/>
      <c r="T52" s="1390" t="s">
        <v>167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3"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168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6478D-4EC5-9061-DA3C-D48DF505B1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4.140625" hidden="1" customWidth="1"/>
    <col min="10" max="10" style="4903" width="9.8515625" hidden="1" customWidth="1"/>
    <col min="11" max="11" style="4903" width="14.71093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5.00390625" customWidth="1"/>
    <col min="21" max="21" style="4921" width="0.140625" customWidth="1"/>
    <col min="22" max="24" style="4921" width="24.7109375" hidden="1" customWidth="1"/>
    <col min="25" max="25" style="4921" width="11.7109375" hidden="1" customWidth="1"/>
    <col min="26" max="26" style="4921" width="3.7109375" hidden="1" customWidth="1"/>
    <col min="27" max="27" style="4921" width="11.7109375" hidden="1" customWidth="1"/>
    <col min="28" max="28" style="4921" width="8.57421875" hidden="1" customWidth="1"/>
    <col min="29" max="29" style="4921" width="24.7109375" customWidth="1"/>
    <col min="30" max="31" style="4921" width="24.00390625" customWidth="1"/>
    <col min="32" max="32" style="4921" width="11.00390625" customWidth="1"/>
    <col min="33" max="33" style="4921" width="3.7109375" customWidth="1"/>
    <col min="34" max="34" style="4921" width="11.00390625" customWidth="1"/>
    <col min="35" max="35" style="4921" width="8.57421875" hidden="1" customWidth="1"/>
    <col min="36" max="36" style="4921" width="4.00390625" customWidth="1"/>
    <col min="37" max="37" style="4921" width="115.00390625" customWidth="1"/>
    <col min="38" max="42" style="4423" width="10.00390625" customWidth="1"/>
    <col min="43" max="43" style="4921"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126</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417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537</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503</v>
      </c>
      <c r="U5" s="365"/>
      <c r="V5" s="2415"/>
      <c r="W5" s="2416"/>
      <c r="X5" s="2416"/>
      <c r="Y5" s="2416"/>
      <c r="Z5" s="2416"/>
      <c r="AA5" s="2416"/>
      <c r="AB5" s="2417"/>
      <c r="AC5" s="2418"/>
      <c r="AD5" s="2419"/>
      <c r="AE5" s="2419"/>
      <c r="AF5" s="2419"/>
      <c r="AG5" s="2419"/>
      <c r="AH5" s="2419"/>
      <c r="AI5" s="2419"/>
      <c r="AJ5" s="2420"/>
      <c r="AK5" s="1323" t="s">
        <v>504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425</v>
      </c>
      <c r="P6" s="2322"/>
      <c r="Q6" s="2322">
        <v>1</v>
      </c>
      <c r="R6" s="422"/>
      <c r="S6" s="1558">
        <f>$J6</f>
      </c>
      <c r="T6" s="351" t="s">
        <v>426</v>
      </c>
      <c r="U6" s="365"/>
      <c r="V6" s="2310"/>
      <c r="W6" s="2311"/>
      <c r="X6" s="2311"/>
      <c r="Y6" s="2311"/>
      <c r="Z6" s="2311"/>
      <c r="AA6" s="2311"/>
      <c r="AB6" s="2312"/>
      <c r="AC6" s="2310"/>
      <c r="AD6" s="2311"/>
      <c r="AE6" s="2311"/>
      <c r="AF6" s="2311"/>
      <c r="AG6" s="2311"/>
      <c r="AH6" s="2311"/>
      <c r="AI6" s="2311"/>
      <c r="AJ6" s="2312"/>
      <c r="AK6" s="1372" t="s">
        <v>505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64</v>
      </c>
      <c r="AA7" s="2330"/>
      <c r="AB7" s="2172" t="s">
        <v>64</v>
      </c>
      <c r="AC7" s="816"/>
      <c r="AD7" s="816"/>
      <c r="AE7" s="1322"/>
      <c r="AF7" s="2330"/>
      <c r="AG7" s="2172" t="s">
        <v>64</v>
      </c>
      <c r="AH7" s="2352"/>
      <c r="AI7" s="2172" t="s">
        <v>64</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506</v>
      </c>
      <c r="U9" s="432"/>
      <c r="V9" s="432"/>
      <c r="W9" s="432"/>
      <c r="X9" s="432"/>
      <c r="Y9" s="432"/>
      <c r="Z9" s="432"/>
      <c r="AA9" s="432"/>
      <c r="AB9" s="432"/>
      <c r="AC9" s="432"/>
      <c r="AD9" s="432"/>
      <c r="AE9" s="432"/>
      <c r="AF9" s="432"/>
      <c r="AG9" s="432"/>
      <c r="AH9" s="432"/>
      <c r="AI9" s="432"/>
      <c r="AJ9" s="432"/>
      <c r="AK9" s="1323" t="s">
        <v>507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431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423"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423"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64</v>
      </c>
      <c r="AH15" s="2332"/>
      <c r="AI15" s="2333" t="s">
        <v>64</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903" customFormat="1" customHeight="1" ht="22.5" hidden="1">
      <c r="L18" s="1543"/>
      <c r="M18" s="1427"/>
      <c r="N18" s="1427"/>
      <c r="O18" s="1432" t="s">
        <v>433</v>
      </c>
      <c r="P18" s="1427"/>
      <c r="Q18" s="1436"/>
      <c r="R18" s="1436"/>
      <c r="S18" s="794"/>
      <c r="Y18" s="1432"/>
      <c r="AA18" s="1432"/>
      <c r="AB18" s="1431"/>
      <c r="AF18" s="1432"/>
      <c r="AH18" s="1432"/>
      <c r="AI18" s="1431"/>
      <c r="AL18" s="576"/>
      <c r="AM18" s="576"/>
      <c r="AN18" s="576"/>
      <c r="AO18" s="576"/>
      <c r="AP18" s="576"/>
      <c r="AQ18" s="1225">
        <v>0</v>
      </c>
    </row>
    <row s="4903" customFormat="1" customHeight="1" ht="14.25" hidden="1">
      <c r="L19" s="1543"/>
      <c r="M19" s="1427"/>
      <c r="N19" s="1427"/>
      <c r="O19" s="1427"/>
      <c r="P19" s="1427"/>
      <c r="Q19" s="1436"/>
      <c r="R19" s="1436"/>
      <c r="S19" s="794"/>
      <c r="AB19" s="1431"/>
      <c r="AI19" s="1431"/>
      <c r="AL19" s="576"/>
      <c r="AM19" s="576"/>
      <c r="AN19" s="576"/>
      <c r="AO19" s="576"/>
      <c r="AP19" s="576"/>
      <c r="AQ19" s="1225">
        <v>0</v>
      </c>
    </row>
    <row s="4903" customFormat="1" customHeight="1" ht="12" hidden="1">
      <c r="L20" s="1543"/>
      <c r="M20" s="1427"/>
      <c r="N20" s="1427"/>
      <c r="O20" s="1429" t="s">
        <v>434</v>
      </c>
      <c r="P20" s="1427"/>
      <c r="Q20" s="1507"/>
      <c r="R20" s="1507"/>
      <c r="S20" s="794"/>
      <c r="T20" s="1225" t="s">
        <v>435</v>
      </c>
      <c r="Z20" s="251" t="s">
        <v>436</v>
      </c>
      <c r="AB20" s="251" t="s">
        <v>437</v>
      </c>
      <c r="AC20" s="1225" t="s">
        <v>435</v>
      </c>
      <c r="AG20" s="251" t="s">
        <v>438</v>
      </c>
      <c r="AI20" s="251" t="s">
        <v>437</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485"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485" customFormat="1" customHeight="1" ht="18.75">
      <c r="A28" s="1433"/>
      <c r="B28" s="1433"/>
      <c r="C28" s="1433"/>
      <c r="D28" s="1433"/>
      <c r="E28" s="1433"/>
      <c r="F28" s="1433"/>
      <c r="G28" s="1433"/>
      <c r="H28" s="1433"/>
      <c r="I28" s="1433"/>
      <c r="J28" s="1433"/>
      <c r="K28" s="1433"/>
      <c r="L28" s="1434"/>
      <c r="M28" s="1433"/>
      <c r="N28" s="1433"/>
      <c r="O28" s="1433"/>
      <c r="S28" s="2315" t="s">
        <v>439</v>
      </c>
      <c r="T28" s="2315"/>
      <c r="U28" s="1437"/>
      <c r="V28" s="2329" t="str">
        <f>IF(TITLE_DATE_PR_CHANGE="",IF(TITLE_DATE_PR="","",TITLE_DATE_PR),TITLE_DATE_PR_CHANGE)</f>
        <v>45643.434652777774</v>
      </c>
      <c r="W28" s="2329"/>
      <c r="X28" s="2329"/>
      <c r="Y28" s="2329"/>
      <c r="Z28" s="2329"/>
      <c r="AA28" s="2329"/>
      <c r="AB28" s="391"/>
      <c r="AC28" s="2329" t="str">
        <f>IF(TITLE_DATE_PR_CHANGE="",IF(TITLE_DATE_PR="","",TITLE_DATE_PR),TITLE_DATE_PR_CHANGE)</f>
        <v>45643.434652777774</v>
      </c>
      <c r="AD28" s="2329"/>
      <c r="AE28" s="2329"/>
      <c r="AF28" s="2329"/>
      <c r="AG28" s="2329"/>
      <c r="AH28" s="2329"/>
      <c r="AI28" s="391"/>
      <c r="AJ28" s="391"/>
      <c r="AK28" s="345"/>
      <c r="AL28" s="433"/>
      <c r="AM28" s="433"/>
      <c r="AN28" s="433"/>
      <c r="AO28" s="433"/>
      <c r="AP28" s="433"/>
      <c r="AQ28" s="483">
        <v>0</v>
      </c>
    </row>
    <row s="5485" customFormat="1" customHeight="1" ht="18.75">
      <c r="A29" s="1433"/>
      <c r="B29" s="1433"/>
      <c r="C29" s="1433"/>
      <c r="D29" s="1433"/>
      <c r="E29" s="1433"/>
      <c r="F29" s="1433"/>
      <c r="G29" s="1433"/>
      <c r="H29" s="1433"/>
      <c r="I29" s="1433"/>
      <c r="J29" s="1433"/>
      <c r="K29" s="1433"/>
      <c r="L29" s="1434"/>
      <c r="M29" s="1433"/>
      <c r="N29" s="1433"/>
      <c r="O29" s="1433"/>
      <c r="S29" s="2315" t="s">
        <v>440</v>
      </c>
      <c r="T29" s="2315"/>
      <c r="U29" s="1437"/>
      <c r="V29" s="2316" t="str">
        <f>IF(TITLE_NUMBER_PR_CHANGE="",IF(TITLE_NUMBER_PR="","",TITLE_NUMBER_PR),TITLE_NUMBER_PR_CHANGE)</f>
        <v>71/2</v>
      </c>
      <c r="W29" s="2316"/>
      <c r="X29" s="2316"/>
      <c r="Y29" s="2316"/>
      <c r="Z29" s="2316"/>
      <c r="AA29" s="2316"/>
      <c r="AB29" s="391"/>
      <c r="AC29" s="2316" t="str">
        <f>IF(TITLE_NUMBER_PR_CHANGE="",IF(TITLE_NUMBER_PR="","",TITLE_NUMBER_PR),TITLE_NUMBER_PR_CHANGE)</f>
        <v>71/2</v>
      </c>
      <c r="AD29" s="2316"/>
      <c r="AE29" s="2316"/>
      <c r="AF29" s="2316"/>
      <c r="AG29" s="2316"/>
      <c r="AH29" s="2316"/>
      <c r="AI29" s="391"/>
      <c r="AJ29" s="391"/>
      <c r="AK29" s="345"/>
      <c r="AL29" s="433"/>
      <c r="AM29" s="433"/>
      <c r="AN29" s="433"/>
      <c r="AO29" s="433"/>
      <c r="AP29" s="433"/>
      <c r="AQ29" s="483">
        <v>0</v>
      </c>
    </row>
    <row s="5485"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Официальный интернет-портал правовой информации Ставропольского края</v>
      </c>
      <c r="W30" s="2316"/>
      <c r="X30" s="2316"/>
      <c r="Y30" s="2316"/>
      <c r="Z30" s="2316"/>
      <c r="AA30" s="2316"/>
      <c r="AB30" s="391"/>
      <c r="AC30" s="2316" t="str">
        <f>IF(TITLE_IST_PUB_CHANGE="",IF(TITLE_IST_PUB="","",TITLE_IST_PUB),TITLE_IST_PUB_CHANGE)</f>
        <v>Официальный интернет-портал правовой информации Ставропольского края</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485" customFormat="1" customHeight="1" ht="18.75" hidden="1">
      <c r="A32" s="1433"/>
      <c r="B32" s="1433"/>
      <c r="C32" s="1433"/>
      <c r="D32" s="1433"/>
      <c r="E32" s="1433"/>
      <c r="F32" s="1433"/>
      <c r="G32" s="1433"/>
      <c r="H32" s="1433"/>
      <c r="I32" s="1433"/>
      <c r="J32" s="1433"/>
      <c r="K32" s="1433"/>
      <c r="L32" s="1434"/>
      <c r="M32" s="1433"/>
      <c r="N32" s="1433"/>
      <c r="O32" s="1433"/>
      <c r="S32" s="2315" t="s">
        <v>441</v>
      </c>
      <c r="T32" s="2315"/>
      <c r="U32" s="1437"/>
      <c r="V32" s="2329" t="str">
        <f>IF(TITLE_DATE_PR_CHANGE="",IF(TITLE_DATE_PR="","",TITLE_DATE_PR),TITLE_DATE_PR_CHANGE)</f>
        <v>45643.434652777774</v>
      </c>
      <c r="W32" s="2329"/>
      <c r="X32" s="2329"/>
      <c r="Y32" s="2329"/>
      <c r="Z32" s="2329"/>
      <c r="AA32" s="2329"/>
      <c r="AB32" s="391"/>
      <c r="AC32" s="2329" t="str">
        <f>IF(TITLE_DATE_PR_CHANGE="",IF(TITLE_DATE_PR="","",TITLE_DATE_PR),TITLE_DATE_PR_CHANGE)</f>
        <v>45643.434652777774</v>
      </c>
      <c r="AD32" s="2329"/>
      <c r="AE32" s="2329"/>
      <c r="AF32" s="2329"/>
      <c r="AG32" s="2329"/>
      <c r="AH32" s="2329"/>
      <c r="AI32" s="391"/>
      <c r="AJ32" s="391"/>
      <c r="AK32" s="345"/>
      <c r="AL32" s="433"/>
      <c r="AM32" s="433"/>
      <c r="AN32" s="433"/>
      <c r="AO32" s="433"/>
      <c r="AP32" s="433"/>
      <c r="AQ32" s="483">
        <v>0</v>
      </c>
    </row>
    <row s="5485" customFormat="1" customHeight="1" ht="18.75" hidden="1">
      <c r="A33" s="1433"/>
      <c r="B33" s="1433"/>
      <c r="C33" s="1433"/>
      <c r="D33" s="1433"/>
      <c r="E33" s="1433"/>
      <c r="F33" s="1433"/>
      <c r="G33" s="1433"/>
      <c r="H33" s="1433"/>
      <c r="I33" s="1433"/>
      <c r="J33" s="1433"/>
      <c r="K33" s="1433"/>
      <c r="L33" s="1434"/>
      <c r="M33" s="1433"/>
      <c r="N33" s="1433"/>
      <c r="O33" s="1433"/>
      <c r="S33" s="2315" t="s">
        <v>442</v>
      </c>
      <c r="T33" s="2315"/>
      <c r="U33" s="1437"/>
      <c r="V33" s="2316" t="str">
        <f>IF(TITLE_NUMBER_PR_CHANGE="",IF(TITLE_NUMBER_PR="","",TITLE_NUMBER_PR),TITLE_NUMBER_PR_CHANGE)</f>
        <v>71/2</v>
      </c>
      <c r="W33" s="2316"/>
      <c r="X33" s="2316"/>
      <c r="Y33" s="2316"/>
      <c r="Z33" s="2316"/>
      <c r="AA33" s="2316"/>
      <c r="AB33" s="391"/>
      <c r="AC33" s="2316" t="str">
        <f>IF(TITLE_NUMBER_PR_CHANGE="",IF(TITLE_NUMBER_PR="","",TITLE_NUMBER_PR),TITLE_NUMBER_PR_CHANGE)</f>
        <v>71/2</v>
      </c>
      <c r="AD33" s="2316"/>
      <c r="AE33" s="2316"/>
      <c r="AF33" s="2316"/>
      <c r="AG33" s="2316"/>
      <c r="AH33" s="2316"/>
      <c r="AI33" s="391"/>
      <c r="AJ33" s="391"/>
      <c r="AK33" s="345"/>
      <c r="AL33" s="433"/>
      <c r="AM33" s="433"/>
      <c r="AN33" s="433"/>
      <c r="AO33" s="433"/>
      <c r="AP33" s="433"/>
      <c r="AQ33" s="483">
        <v>0</v>
      </c>
    </row>
    <row s="5485"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443</v>
      </c>
      <c r="AC34" s="391"/>
      <c r="AD34" s="391"/>
      <c r="AE34" s="391"/>
      <c r="AF34" s="391"/>
      <c r="AG34" s="391"/>
      <c r="AH34" s="391"/>
      <c r="AI34" s="343" t="s">
        <v>443</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319</v>
      </c>
      <c r="T36" s="2192"/>
      <c r="U36" s="2192"/>
      <c r="V36" s="2192"/>
      <c r="W36" s="2192"/>
      <c r="X36" s="2192"/>
      <c r="Y36" s="2192"/>
      <c r="Z36" s="2192"/>
      <c r="AA36" s="2192"/>
      <c r="AB36" s="2192"/>
      <c r="AC36" s="2192"/>
      <c r="AD36" s="2192"/>
      <c r="AE36" s="2192"/>
      <c r="AF36" s="2192"/>
      <c r="AG36" s="2192"/>
      <c r="AH36" s="2192"/>
      <c r="AI36" s="2192"/>
      <c r="AJ36" s="2192"/>
      <c r="AK36" s="2192" t="s">
        <v>320</v>
      </c>
      <c r="AQ36" s="1220">
        <v>14</v>
      </c>
    </row>
    <row customHeight="1" ht="14.699999999999998">
      <c r="Q37" s="441"/>
      <c r="R37" s="441"/>
      <c r="S37" s="2338" t="s">
        <v>91</v>
      </c>
      <c r="T37" s="2274" t="s">
        <v>444</v>
      </c>
      <c r="U37" s="366"/>
      <c r="V37" s="2339" t="s">
        <v>445</v>
      </c>
      <c r="W37" s="2340"/>
      <c r="X37" s="2340"/>
      <c r="Y37" s="2340"/>
      <c r="Z37" s="2340"/>
      <c r="AA37" s="2341"/>
      <c r="AB37" s="2342" t="s">
        <v>446</v>
      </c>
      <c r="AC37" s="2339" t="s">
        <v>445</v>
      </c>
      <c r="AD37" s="2340"/>
      <c r="AE37" s="2340"/>
      <c r="AF37" s="2340"/>
      <c r="AG37" s="2340"/>
      <c r="AH37" s="2341"/>
      <c r="AI37" s="2342" t="s">
        <v>447</v>
      </c>
      <c r="AJ37" s="2345" t="s">
        <v>448</v>
      </c>
      <c r="AK37" s="2192"/>
      <c r="AQ37" s="1220">
        <v>14</v>
      </c>
    </row>
    <row customHeight="1" ht="35.699999999999996">
      <c r="Q38" s="441"/>
      <c r="R38" s="441"/>
      <c r="S38" s="2338"/>
      <c r="T38" s="2274"/>
      <c r="U38" s="1096"/>
      <c r="V38" s="1548" t="s">
        <v>509</v>
      </c>
      <c r="W38" s="2327" t="s">
        <v>451</v>
      </c>
      <c r="X38" s="2328"/>
      <c r="Y38" s="2327" t="s">
        <v>452</v>
      </c>
      <c r="Z38" s="2334"/>
      <c r="AA38" s="2328"/>
      <c r="AB38" s="2343"/>
      <c r="AC38" s="1548" t="s">
        <v>509</v>
      </c>
      <c r="AD38" s="2327" t="s">
        <v>451</v>
      </c>
      <c r="AE38" s="2328"/>
      <c r="AF38" s="2327" t="s">
        <v>452</v>
      </c>
      <c r="AG38" s="2334"/>
      <c r="AH38" s="2328"/>
      <c r="AI38" s="2343"/>
      <c r="AJ38" s="2346"/>
      <c r="AK38" s="2192"/>
      <c r="AQ38" s="1220">
        <v>34</v>
      </c>
    </row>
    <row customHeight="1" ht="90.3">
      <c r="A39" s="1435"/>
      <c r="B39" s="1435" t="s">
        <v>138</v>
      </c>
      <c r="C39" s="1435" t="s">
        <v>139</v>
      </c>
      <c r="D39" s="1435" t="s">
        <v>140</v>
      </c>
      <c r="E39" s="1429" t="s">
        <v>453</v>
      </c>
      <c r="F39" s="1429" t="s">
        <v>454</v>
      </c>
      <c r="G39" s="1429" t="s">
        <v>455</v>
      </c>
      <c r="H39" s="1429"/>
      <c r="I39" s="1429" t="s">
        <v>510</v>
      </c>
      <c r="J39" s="1429" t="s">
        <v>458</v>
      </c>
      <c r="K39" s="1429" t="s">
        <v>511</v>
      </c>
      <c r="L39" s="1429" t="s">
        <v>434</v>
      </c>
      <c r="Q39" s="441"/>
      <c r="R39" s="441"/>
      <c r="S39" s="2338"/>
      <c r="T39" s="2274"/>
      <c r="U39" s="367"/>
      <c r="V39" s="1548" t="s">
        <v>538</v>
      </c>
      <c r="W39" s="1287" t="s">
        <v>539</v>
      </c>
      <c r="X39" s="1287" t="s">
        <v>514</v>
      </c>
      <c r="Y39" s="1554" t="s">
        <v>462</v>
      </c>
      <c r="Z39" s="2335" t="s">
        <v>463</v>
      </c>
      <c r="AA39" s="2336"/>
      <c r="AB39" s="2344"/>
      <c r="AC39" s="1548" t="s">
        <v>538</v>
      </c>
      <c r="AD39" s="1287" t="s">
        <v>539</v>
      </c>
      <c r="AE39" s="1287" t="s">
        <v>514</v>
      </c>
      <c r="AF39" s="1554" t="s">
        <v>462</v>
      </c>
      <c r="AG39" s="2335" t="s">
        <v>463</v>
      </c>
      <c r="AH39" s="2336"/>
      <c r="AI39" s="2344"/>
      <c r="AJ39" s="2347"/>
      <c r="AK39" s="2192"/>
      <c r="AQ39" s="1220">
        <v>86</v>
      </c>
    </row>
    <row s="4094"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112</v>
      </c>
      <c r="T40" s="1320" t="s">
        <v>113</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290</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126</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290</v>
      </c>
      <c r="B42" s="1428" t="s">
        <v>291</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416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417</v>
      </c>
      <c r="AM42" s="565"/>
      <c r="AN42" s="565" t="str">
        <f>IF(T42="","",T42)</f>
        <v>Территория действия тарифа</v>
      </c>
      <c r="AO42" s="565"/>
      <c r="AP42" s="565"/>
      <c r="AQ42" s="1220">
        <v>23</v>
      </c>
    </row>
    <row customHeight="1" ht="24">
      <c r="A43" s="1428" t="s">
        <v>290</v>
      </c>
      <c r="B43" s="1428" t="s">
        <v>291</v>
      </c>
      <c r="C43" s="1428" t="s">
        <v>292</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536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537</v>
      </c>
      <c r="AM43" s="565"/>
      <c r="AN43" s="565" t="str">
        <f>IF(T43="","",T43)</f>
        <v>Наименование централизованной системы водоотведения</v>
      </c>
      <c r="AO43" s="565"/>
      <c r="AP43" s="565"/>
      <c r="AQ43" s="1220">
        <v>23</v>
      </c>
    </row>
    <row customHeight="1" ht="24">
      <c r="A44" s="1428" t="s">
        <v>290</v>
      </c>
      <c r="B44" s="1428" t="s">
        <v>291</v>
      </c>
      <c r="C44" s="1428" t="s">
        <v>292</v>
      </c>
      <c r="D44" s="1428" t="s">
        <v>541</v>
      </c>
      <c r="E44" s="2324"/>
      <c r="F44" s="2324"/>
      <c r="G44" s="2324"/>
      <c r="H44" s="2324"/>
      <c r="I44" s="2321" t="str">
        <f>S43&amp;".1"</f>
        <v>...1</v>
      </c>
      <c r="J44" s="1428"/>
      <c r="K44" s="1428"/>
      <c r="L44" s="1429"/>
      <c r="P44" s="2322">
        <v>1</v>
      </c>
      <c r="Q44" s="1546"/>
      <c r="R44" s="421"/>
      <c r="S44" s="1558" t="str">
        <f>$I44</f>
        <v>...1</v>
      </c>
      <c r="T44" s="350" t="s">
        <v>503</v>
      </c>
      <c r="U44" s="365"/>
      <c r="V44" s="2415"/>
      <c r="W44" s="2416"/>
      <c r="X44" s="2416"/>
      <c r="Y44" s="2416"/>
      <c r="Z44" s="2416"/>
      <c r="AA44" s="2416"/>
      <c r="AB44" s="2417"/>
      <c r="AC44" s="2418"/>
      <c r="AD44" s="2419"/>
      <c r="AE44" s="2419"/>
      <c r="AF44" s="2419"/>
      <c r="AG44" s="2419"/>
      <c r="AH44" s="2419"/>
      <c r="AI44" s="2419"/>
      <c r="AJ44" s="2420"/>
      <c r="AK44" s="1323" t="s">
        <v>504</v>
      </c>
      <c r="AM44" s="565"/>
      <c r="AN44" s="565" t="str">
        <f>IF(T44="","",T44)</f>
        <v>Наименование признака дифференциации</v>
      </c>
      <c r="AO44" s="565"/>
      <c r="AP44" s="565"/>
      <c r="AQ44" s="1220">
        <v>23</v>
      </c>
    </row>
    <row customHeight="1" ht="24">
      <c r="A45" s="1428" t="s">
        <v>290</v>
      </c>
      <c r="B45" s="1428" t="s">
        <v>291</v>
      </c>
      <c r="C45" s="1428" t="s">
        <v>292</v>
      </c>
      <c r="D45" s="1428" t="s">
        <v>541</v>
      </c>
      <c r="E45" s="2324"/>
      <c r="F45" s="2324"/>
      <c r="G45" s="2324"/>
      <c r="H45" s="2324"/>
      <c r="I45" s="2351"/>
      <c r="J45" s="2321" t="str">
        <f>I44&amp;".1"</f>
        <v>...1.1</v>
      </c>
      <c r="K45" s="1428"/>
      <c r="L45" s="1429" t="s">
        <v>425</v>
      </c>
      <c r="P45" s="2322"/>
      <c r="Q45" s="2322">
        <v>1</v>
      </c>
      <c r="R45" s="422"/>
      <c r="S45" s="1558" t="str">
        <f>$J45</f>
        <v>...1.1</v>
      </c>
      <c r="T45" s="351" t="s">
        <v>426</v>
      </c>
      <c r="U45" s="365"/>
      <c r="V45" s="2310"/>
      <c r="W45" s="2311"/>
      <c r="X45" s="2311"/>
      <c r="Y45" s="2311"/>
      <c r="Z45" s="2311"/>
      <c r="AA45" s="2311"/>
      <c r="AB45" s="2312"/>
      <c r="AC45" s="2310"/>
      <c r="AD45" s="2311"/>
      <c r="AE45" s="2311"/>
      <c r="AF45" s="2311"/>
      <c r="AG45" s="2311"/>
      <c r="AH45" s="2311"/>
      <c r="AI45" s="2311"/>
      <c r="AJ45" s="2312"/>
      <c r="AK45" s="1372" t="s">
        <v>505</v>
      </c>
      <c r="AM45" s="565"/>
      <c r="AN45" s="565" t="str">
        <f>IF(T45="","",T45)</f>
        <v>Группа потребителей</v>
      </c>
      <c r="AO45" s="565"/>
      <c r="AP45" s="565"/>
      <c r="AQ45" s="1220">
        <v>23</v>
      </c>
    </row>
    <row customHeight="1" ht="24">
      <c r="A46" s="1428" t="s">
        <v>290</v>
      </c>
      <c r="B46" s="1428" t="s">
        <v>291</v>
      </c>
      <c r="C46" s="1428" t="s">
        <v>292</v>
      </c>
      <c r="D46" s="1428" t="s">
        <v>541</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64</v>
      </c>
      <c r="AA46" s="2332"/>
      <c r="AB46" s="2333" t="s">
        <v>64</v>
      </c>
      <c r="AC46" s="816"/>
      <c r="AD46" s="816"/>
      <c r="AE46" s="1322"/>
      <c r="AF46" s="2330"/>
      <c r="AG46" s="2172" t="s">
        <v>64</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290</v>
      </c>
      <c r="B47" s="1428" t="s">
        <v>291</v>
      </c>
      <c r="C47" s="1428" t="s">
        <v>292</v>
      </c>
      <c r="D47" s="1428" t="s">
        <v>541</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290</v>
      </c>
      <c r="B48" s="1428" t="s">
        <v>291</v>
      </c>
      <c r="C48" s="1428" t="s">
        <v>292</v>
      </c>
      <c r="D48" s="1428" t="s">
        <v>541</v>
      </c>
      <c r="E48" s="2324"/>
      <c r="F48" s="2324"/>
      <c r="G48" s="2324"/>
      <c r="H48" s="2324"/>
      <c r="I48" s="2351"/>
      <c r="J48" s="2321"/>
      <c r="K48" s="1428"/>
      <c r="L48" s="1429"/>
      <c r="P48" s="2322"/>
      <c r="Q48" s="2322"/>
      <c r="R48" s="421"/>
      <c r="S48" s="1343"/>
      <c r="T48" s="352" t="s">
        <v>506</v>
      </c>
      <c r="U48" s="432"/>
      <c r="V48" s="432"/>
      <c r="W48" s="432"/>
      <c r="X48" s="432"/>
      <c r="Y48" s="432"/>
      <c r="Z48" s="432"/>
      <c r="AA48" s="432"/>
      <c r="AB48" s="432"/>
      <c r="AC48" s="432"/>
      <c r="AD48" s="432"/>
      <c r="AE48" s="432"/>
      <c r="AF48" s="432"/>
      <c r="AG48" s="432"/>
      <c r="AH48" s="432"/>
      <c r="AI48" s="432"/>
      <c r="AJ48" s="432"/>
      <c r="AK48" s="1323" t="s">
        <v>507</v>
      </c>
      <c r="AM48" s="565"/>
      <c r="AN48" s="565" t="str">
        <f>IF(T48="","",T48)</f>
        <v>Добавить значение признака дифференциации</v>
      </c>
      <c r="AO48" s="565"/>
      <c r="AP48" s="565"/>
      <c r="AQ48" s="1220">
        <v>20</v>
      </c>
    </row>
    <row customHeight="1" ht="22.049999999999997">
      <c r="A49" s="1428" t="s">
        <v>290</v>
      </c>
      <c r="B49" s="1428" t="s">
        <v>291</v>
      </c>
      <c r="C49" s="1428" t="s">
        <v>292</v>
      </c>
      <c r="D49" s="1428" t="s">
        <v>541</v>
      </c>
      <c r="E49" s="2324"/>
      <c r="F49" s="2324"/>
      <c r="G49" s="2324"/>
      <c r="H49" s="2324"/>
      <c r="I49" s="2321"/>
      <c r="J49" s="1428"/>
      <c r="K49" s="1428"/>
      <c r="L49" s="1429"/>
      <c r="P49" s="2322"/>
      <c r="Q49" s="1546"/>
      <c r="R49" s="421"/>
      <c r="S49" s="1343"/>
      <c r="T49" s="430" t="s">
        <v>431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290</v>
      </c>
      <c r="B50" s="1428" t="s">
        <v>291</v>
      </c>
      <c r="C50" s="1428" t="s">
        <v>292</v>
      </c>
      <c r="D50" s="1428" t="s">
        <v>541</v>
      </c>
      <c r="E50" s="2324"/>
      <c r="F50" s="2324"/>
      <c r="G50" s="2324"/>
      <c r="H50" s="2323"/>
      <c r="I50" s="1428"/>
      <c r="J50" s="1428"/>
      <c r="K50" s="1428"/>
      <c r="L50" s="1429"/>
      <c r="M50" s="1430"/>
      <c r="N50" s="1430"/>
      <c r="O50" s="602"/>
      <c r="P50" s="425"/>
      <c r="Q50" s="440"/>
      <c r="R50" s="420"/>
      <c r="S50" s="1343"/>
      <c r="T50" s="437" t="s">
        <v>508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423" customFormat="1" customHeight="1" ht="0">
      <c r="A51" s="1408" t="s">
        <v>290</v>
      </c>
      <c r="B51" s="1408" t="s">
        <v>291</v>
      </c>
      <c r="C51" s="1379"/>
      <c r="D51" s="1379"/>
      <c r="E51" s="2324"/>
      <c r="F51" s="2323"/>
      <c r="G51" s="1379"/>
      <c r="H51" s="1379"/>
      <c r="I51" s="1379"/>
      <c r="J51" s="1379"/>
      <c r="K51" s="1379"/>
      <c r="L51" s="1559"/>
      <c r="M51" s="1386"/>
      <c r="N51" s="1386"/>
      <c r="P51" s="1381"/>
      <c r="Q51" s="1382"/>
      <c r="R51" s="1381"/>
      <c r="S51" s="1387"/>
      <c r="T51" s="1390" t="s">
        <v>166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423" customFormat="1" customHeight="1" ht="0">
      <c r="A52" s="1408" t="s">
        <v>290</v>
      </c>
      <c r="B52" s="1408"/>
      <c r="C52" s="1408"/>
      <c r="D52" s="1408"/>
      <c r="E52" s="2323"/>
      <c r="F52" s="1408"/>
      <c r="G52" s="1408"/>
      <c r="H52" s="1408"/>
      <c r="I52" s="1408"/>
      <c r="J52" s="1408"/>
      <c r="K52" s="1408"/>
      <c r="L52" s="1411"/>
      <c r="M52" s="1386"/>
      <c r="N52" s="1386"/>
      <c r="O52" s="583"/>
      <c r="P52" s="445"/>
      <c r="Q52" s="1409"/>
      <c r="R52" s="445"/>
      <c r="S52" s="1387"/>
      <c r="T52" s="1390" t="s">
        <v>167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423"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168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85</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2FD16-23C8-3F37-17BE-E5DAE3B45D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903" width="11.57421875" hidden="1" customWidth="1"/>
    <col min="2" max="2" style="4903" width="11.00390625" hidden="1" customWidth="1"/>
    <col min="3" max="3" style="4903" width="10.57421875" hidden="1"/>
    <col min="4" max="4" style="4903" width="12.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2.00390625" hidden="1" customWidth="1"/>
    <col min="10" max="10" style="4903" width="9.8515625" hidden="1" customWidth="1"/>
    <col min="11" max="11" style="4903" width="11.421875" hidden="1" customWidth="1"/>
    <col min="12" max="12" style="5422" width="19.140625" hidden="1" customWidth="1"/>
    <col min="13" max="14" style="4107" width="12.28125" hidden="1" customWidth="1"/>
    <col min="15" max="15" style="4107" width="23.421875" hidden="1" customWidth="1"/>
    <col min="16" max="16" style="4107" width="3.7109375" hidden="1" customWidth="1"/>
    <col min="17" max="17" style="3716" width="3.7109375" hidden="1" customWidth="1"/>
    <col min="18" max="18" style="4943" width="3.00390625" customWidth="1"/>
    <col min="19" max="19" style="5599" width="12.00390625" customWidth="1"/>
    <col min="20" max="20" style="4921" width="31.00390625" customWidth="1"/>
    <col min="21" max="21" style="4921" width="0.140625" customWidth="1"/>
    <col min="22" max="25" style="4921" width="21.710937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3.7109375" customWidth="1"/>
    <col min="31" max="32" style="4921" width="3.00390625" customWidth="1"/>
    <col min="33" max="33" style="4921" width="24.00390625" customWidth="1"/>
    <col min="34" max="34" style="4921" width="3.7109375" customWidth="1"/>
    <col min="35" max="36" style="4921" width="3.00390625" customWidth="1"/>
    <col min="37" max="37" style="4921" width="24.00390625" customWidth="1"/>
    <col min="38" max="38" style="4921" width="3.7109375" customWidth="1"/>
    <col min="39" max="40" style="4921" width="3.00390625" customWidth="1"/>
    <col min="41" max="41" style="4921" width="18.00390625" customWidth="1"/>
    <col min="42" max="42" style="4921" width="3.7109375" customWidth="1"/>
    <col min="43" max="44" style="4921" width="3.00390625" customWidth="1"/>
    <col min="45" max="45" style="4921" width="18.00390625" customWidth="1"/>
    <col min="46" max="49" style="4921" width="21.00390625" customWidth="1"/>
    <col min="50" max="50" style="4921" width="11.00390625" customWidth="1"/>
    <col min="51" max="51" style="4921" width="3.7109375" customWidth="1"/>
    <col min="52" max="52" style="4921" width="11.00390625" customWidth="1"/>
    <col min="53" max="53" style="4921" width="8.57421875" hidden="1" customWidth="1"/>
    <col min="54" max="54" style="4921" width="4.00390625" customWidth="1"/>
    <col min="55" max="55" style="4921" width="115.00390625" customWidth="1"/>
    <col min="56" max="60" style="4423" width="10.00390625" customWidth="1"/>
    <col min="61" max="61" style="4921"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126</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416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417</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536</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537</v>
      </c>
      <c r="BE4" s="565"/>
      <c r="BF4" s="565" t="str">
        <f>IF(T4="","",T4)</f>
        <v>Наименование централизованной системы водоотведения</v>
      </c>
      <c r="BG4" s="565"/>
      <c r="BH4" s="565"/>
      <c r="BI4" s="1220">
        <v>0</v>
      </c>
    </row>
    <row s="4423"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421</v>
      </c>
      <c r="BE5" s="565"/>
      <c r="BF5" s="565" t="str">
        <f>IF(T5="","",T5)</f>
        <v/>
      </c>
      <c r="BG5" s="565"/>
      <c r="BH5" s="565"/>
      <c r="BI5" s="576">
        <v>0</v>
      </c>
    </row>
    <row s="4423" customFormat="1" customHeight="1" ht="14.25" hidden="1">
      <c r="A6" s="1408"/>
      <c r="B6" s="1408"/>
      <c r="C6" s="1408"/>
      <c r="D6" s="1408"/>
      <c r="E6" s="2324"/>
      <c r="F6" s="2324"/>
      <c r="G6" s="2324"/>
      <c r="H6" s="2324"/>
      <c r="I6" s="2321" t="str">
        <f>S5&amp;".1"</f>
        <v>.1</v>
      </c>
      <c r="J6" s="1408"/>
      <c r="K6" s="1408"/>
      <c r="L6" s="1411" t="s">
        <v>422</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423"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64</v>
      </c>
      <c r="AB8" s="1799"/>
      <c r="AC8" s="1534" t="s">
        <v>64</v>
      </c>
      <c r="AD8" s="2250" t="s">
        <v>64</v>
      </c>
      <c r="AE8" s="2391"/>
      <c r="AF8" s="2270">
        <v>1</v>
      </c>
      <c r="AG8" s="2428"/>
      <c r="AH8" s="2172" t="s">
        <v>64</v>
      </c>
      <c r="AI8" s="2391"/>
      <c r="AJ8" s="2270">
        <v>1</v>
      </c>
      <c r="AK8" s="2392" t="s">
        <v>28</v>
      </c>
      <c r="AL8" s="2172" t="s">
        <v>64</v>
      </c>
      <c r="AM8" s="2257"/>
      <c r="AN8" s="2270">
        <v>1</v>
      </c>
      <c r="AO8" s="2422"/>
      <c r="AP8" s="2423" t="s">
        <v>64</v>
      </c>
      <c r="AQ8" s="376"/>
      <c r="AR8" s="1551">
        <v>1</v>
      </c>
      <c r="AS8" s="1557" t="s">
        <v>28</v>
      </c>
      <c r="AT8" s="816"/>
      <c r="AU8" s="1322"/>
      <c r="AV8" s="816"/>
      <c r="AW8" s="1322"/>
      <c r="AX8" s="1799"/>
      <c r="AY8" s="1534" t="s">
        <v>64</v>
      </c>
      <c r="AZ8" s="1799"/>
      <c r="BA8" s="1534" t="s">
        <v>64</v>
      </c>
      <c r="BB8" s="1413"/>
      <c r="BC8" s="2318" t="s">
        <v>521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522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542</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543</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525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423"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423"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423"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423"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166</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423"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167</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64</v>
      </c>
      <c r="AZ20" s="1801"/>
      <c r="BA20" s="1550" t="s">
        <v>64</v>
      </c>
      <c r="BI20" s="1220">
        <v>0</v>
      </c>
    </row>
    <row customHeight="1" ht="14.25" hidden="1">
      <c r="BD21" s="561"/>
      <c r="BE21" s="561"/>
      <c r="BF21" s="561"/>
      <c r="BG21" s="561"/>
      <c r="BH21" s="561"/>
      <c r="BI21" s="1220">
        <v>0</v>
      </c>
    </row>
    <row customHeight="1" ht="14.25" hidden="1">
      <c r="O22" s="1432" t="s">
        <v>433</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4146" customFormat="1" customHeight="1" ht="14.25" hidden="1">
      <c r="M24" s="1573"/>
      <c r="N24" s="1573"/>
      <c r="O24" s="1574" t="s">
        <v>434</v>
      </c>
      <c r="P24" s="1573"/>
      <c r="Q24" s="1575"/>
      <c r="R24" s="1575"/>
      <c r="AA24" s="1572" t="s">
        <v>436</v>
      </c>
      <c r="AC24" s="1572" t="s">
        <v>437</v>
      </c>
      <c r="AD24" s="1572" t="s">
        <v>489</v>
      </c>
      <c r="AH24" s="1572" t="s">
        <v>489</v>
      </c>
      <c r="AK24" s="1572" t="s">
        <v>526</v>
      </c>
      <c r="AL24" s="1572" t="s">
        <v>489</v>
      </c>
      <c r="AP24" s="1572" t="s">
        <v>489</v>
      </c>
      <c r="AY24" s="1572" t="s">
        <v>436</v>
      </c>
      <c r="BA24" s="1572" t="s">
        <v>437</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Филиал ПАО "ОГК-2"-Ставропольская ГРЭС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485"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485" customFormat="1" customHeight="1" ht="18.75">
      <c r="A32" s="1433"/>
      <c r="B32" s="1433"/>
      <c r="C32" s="1433"/>
      <c r="D32" s="1433"/>
      <c r="E32" s="1433"/>
      <c r="F32" s="1433"/>
      <c r="G32" s="1433"/>
      <c r="H32" s="1433"/>
      <c r="I32" s="1433"/>
      <c r="J32" s="1433"/>
      <c r="K32" s="1433"/>
      <c r="L32" s="1434"/>
      <c r="M32" s="1433"/>
      <c r="N32" s="1433"/>
      <c r="O32" s="1433"/>
      <c r="P32" s="1433"/>
      <c r="Q32" s="1433"/>
      <c r="S32" s="2315" t="s">
        <v>439</v>
      </c>
      <c r="T32" s="2315"/>
      <c r="U32" s="1437"/>
      <c r="V32" s="2329" t="str">
        <f>IF(TITLE_DATE_PR_CHANGE="",IF(TITLE_DATE_PR="","",TITLE_DATE_PR),TITLE_DATE_PR_CHANGE)</f>
        <v>45643.434652777774</v>
      </c>
      <c r="W32" s="2329"/>
      <c r="X32" s="2329"/>
      <c r="Y32" s="2329"/>
      <c r="Z32" s="2329"/>
      <c r="AA32" s="2329"/>
      <c r="AB32" s="2329"/>
      <c r="AC32" s="391"/>
      <c r="AD32" s="2329" t="str">
        <f>IF(TITLE_DATE_PR_CHANGE="",IF(TITLE_DATE_PR="","",TITLE_DATE_PR),TITLE_DATE_PR_CHANGE)</f>
        <v>45643.434652777774</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485" customFormat="1" customHeight="1" ht="18.75">
      <c r="A33" s="1433"/>
      <c r="B33" s="1433"/>
      <c r="C33" s="1433"/>
      <c r="D33" s="1433"/>
      <c r="E33" s="1433"/>
      <c r="F33" s="1433"/>
      <c r="G33" s="1433"/>
      <c r="H33" s="1433"/>
      <c r="I33" s="1433"/>
      <c r="J33" s="1433"/>
      <c r="K33" s="1433"/>
      <c r="L33" s="1434"/>
      <c r="M33" s="1433"/>
      <c r="N33" s="1433"/>
      <c r="O33" s="1433"/>
      <c r="P33" s="1433"/>
      <c r="Q33" s="1433"/>
      <c r="S33" s="2315" t="s">
        <v>440</v>
      </c>
      <c r="T33" s="2315"/>
      <c r="U33" s="1437"/>
      <c r="V33" s="2316" t="str">
        <f>IF(TITLE_NUMBER_PR_CHANGE="",IF(TITLE_NUMBER_PR="","",TITLE_NUMBER_PR),TITLE_NUMBER_PR_CHANGE)</f>
        <v>71/2</v>
      </c>
      <c r="W33" s="2316"/>
      <c r="X33" s="2316"/>
      <c r="Y33" s="2316"/>
      <c r="Z33" s="2316"/>
      <c r="AA33" s="2316"/>
      <c r="AB33" s="2316"/>
      <c r="AC33" s="391"/>
      <c r="AD33" s="2316" t="str">
        <f>IF(TITLE_NUMBER_PR_CHANGE="",IF(TITLE_NUMBER_PR="","",TITLE_NUMBER_PR),TITLE_NUMBER_PR_CHANGE)</f>
        <v>71/2</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485"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Официальный интернет-портал правовой информации Ставропольского края</v>
      </c>
      <c r="W34" s="2316"/>
      <c r="X34" s="2316"/>
      <c r="Y34" s="2316"/>
      <c r="Z34" s="2316"/>
      <c r="AA34" s="2316"/>
      <c r="AB34" s="2316"/>
      <c r="AC34" s="391"/>
      <c r="AD34" s="2316" t="str">
        <f>IF(TITLE_IST_PUB_CHANGE="",IF(TITLE_IST_PUB="","",TITLE_IST_PUB),TITLE_IST_PUB_CHANGE)</f>
        <v>Официальный интернет-портал правовой информации Ставропольского края</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485"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439</v>
      </c>
      <c r="T36" s="2315"/>
      <c r="U36" s="1437"/>
      <c r="V36" s="2329" t="str">
        <f>IF(TITLE_DATE_PR_CHANGE="",IF(TITLE_DATE_PR="","",TITLE_DATE_PR),TITLE_DATE_PR_CHANGE)</f>
        <v>45643.434652777774</v>
      </c>
      <c r="W36" s="2329"/>
      <c r="X36" s="2329"/>
      <c r="Y36" s="2329"/>
      <c r="Z36" s="2329"/>
      <c r="AA36" s="2329"/>
      <c r="AB36" s="2329"/>
      <c r="AC36" s="391"/>
      <c r="AD36" s="2329" t="str">
        <f>IF(TITLE_DATE_PR_CHANGE="",IF(TITLE_DATE_PR="","",TITLE_DATE_PR),TITLE_DATE_PR_CHANGE)</f>
        <v>45643.434652777774</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485"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440</v>
      </c>
      <c r="T37" s="2315"/>
      <c r="U37" s="1437"/>
      <c r="V37" s="2316" t="str">
        <f>IF(TITLE_NUMBER_PR_CHANGE="",IF(TITLE_NUMBER_PR="","",TITLE_NUMBER_PR),TITLE_NUMBER_PR_CHANGE)</f>
        <v>71/2</v>
      </c>
      <c r="W37" s="2316"/>
      <c r="X37" s="2316"/>
      <c r="Y37" s="2316"/>
      <c r="Z37" s="2316"/>
      <c r="AA37" s="2316"/>
      <c r="AB37" s="2316"/>
      <c r="AC37" s="391"/>
      <c r="AD37" s="2316" t="str">
        <f>IF(TITLE_NUMBER_PR_CHANGE="",IF(TITLE_NUMBER_PR="","",TITLE_NUMBER_PR),TITLE_NUMBER_PR_CHANGE)</f>
        <v>71/2</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485"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443</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443</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319</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320</v>
      </c>
      <c r="BI40" s="1220">
        <v>14</v>
      </c>
    </row>
    <row customHeight="1" ht="14.699999999999998">
      <c r="Q41" s="356"/>
      <c r="R41" s="441"/>
      <c r="S41" s="2338" t="s">
        <v>91</v>
      </c>
      <c r="T41" s="2274" t="s">
        <v>527</v>
      </c>
      <c r="U41" s="366"/>
      <c r="V41" s="2339" t="s">
        <v>445</v>
      </c>
      <c r="W41" s="2340"/>
      <c r="X41" s="2340"/>
      <c r="Y41" s="2340"/>
      <c r="Z41" s="2340"/>
      <c r="AA41" s="2340"/>
      <c r="AB41" s="2341"/>
      <c r="AC41" s="2342" t="s">
        <v>446</v>
      </c>
      <c r="AD41" s="2393" t="s">
        <v>544</v>
      </c>
      <c r="AE41" s="2356"/>
      <c r="AF41" s="2356"/>
      <c r="AG41" s="2394"/>
      <c r="AH41" s="2393" t="s">
        <v>545</v>
      </c>
      <c r="AI41" s="2356"/>
      <c r="AJ41" s="2356"/>
      <c r="AK41" s="2394"/>
      <c r="AL41" s="2393" t="s">
        <v>546</v>
      </c>
      <c r="AM41" s="2356"/>
      <c r="AN41" s="2356"/>
      <c r="AO41" s="2394"/>
      <c r="AP41" s="2393" t="s">
        <v>531</v>
      </c>
      <c r="AQ41" s="2356"/>
      <c r="AR41" s="2356"/>
      <c r="AS41" s="2394"/>
      <c r="AT41" s="2339" t="s">
        <v>445</v>
      </c>
      <c r="AU41" s="2340"/>
      <c r="AV41" s="2340"/>
      <c r="AW41" s="2340"/>
      <c r="AX41" s="2340"/>
      <c r="AY41" s="2340"/>
      <c r="AZ41" s="2341"/>
      <c r="BA41" s="2342" t="s">
        <v>446</v>
      </c>
      <c r="BB41" s="2345" t="s">
        <v>448</v>
      </c>
      <c r="BC41" s="2192"/>
      <c r="BI41" s="1220">
        <v>14</v>
      </c>
    </row>
    <row customHeight="1" ht="35.699999999999996">
      <c r="Q42" s="356"/>
      <c r="R42" s="441"/>
      <c r="S42" s="2338"/>
      <c r="T42" s="2274"/>
      <c r="U42" s="1096"/>
      <c r="V42" s="2257" t="s">
        <v>532</v>
      </c>
      <c r="W42" s="2258"/>
      <c r="X42" s="2257" t="s">
        <v>533</v>
      </c>
      <c r="Y42" s="2258"/>
      <c r="Z42" s="2359" t="s">
        <v>534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547</v>
      </c>
      <c r="AU42" s="2258"/>
      <c r="AV42" s="2257" t="s">
        <v>548</v>
      </c>
      <c r="AW42" s="2258"/>
      <c r="AX42" s="2359" t="s">
        <v>534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138</v>
      </c>
      <c r="C44" s="1435" t="s">
        <v>139</v>
      </c>
      <c r="D44" s="1435" t="s">
        <v>140</v>
      </c>
      <c r="E44" s="1429" t="s">
        <v>453</v>
      </c>
      <c r="F44" s="1429" t="s">
        <v>454</v>
      </c>
      <c r="G44" s="1429" t="s">
        <v>455</v>
      </c>
      <c r="H44" s="1429" t="s">
        <v>456</v>
      </c>
      <c r="I44" s="1429" t="s">
        <v>457</v>
      </c>
      <c r="J44" s="1429" t="s">
        <v>458</v>
      </c>
      <c r="K44" s="1429" t="s">
        <v>459</v>
      </c>
      <c r="L44" s="1429" t="s">
        <v>434</v>
      </c>
      <c r="Q44" s="356"/>
      <c r="R44" s="441"/>
      <c r="S44" s="2338"/>
      <c r="T44" s="2274"/>
      <c r="U44" s="367"/>
      <c r="V44" s="1544" t="s">
        <v>498</v>
      </c>
      <c r="W44" s="1544" t="s">
        <v>499</v>
      </c>
      <c r="X44" s="1544" t="s">
        <v>498</v>
      </c>
      <c r="Y44" s="1544" t="s">
        <v>499</v>
      </c>
      <c r="Z44" s="1554" t="s">
        <v>462</v>
      </c>
      <c r="AA44" s="2335" t="s">
        <v>463</v>
      </c>
      <c r="AB44" s="2336"/>
      <c r="AC44" s="2344"/>
      <c r="AD44" s="2398"/>
      <c r="AE44" s="2399"/>
      <c r="AF44" s="2399"/>
      <c r="AG44" s="2400"/>
      <c r="AH44" s="2398"/>
      <c r="AI44" s="2399"/>
      <c r="AJ44" s="2399"/>
      <c r="AK44" s="2400"/>
      <c r="AL44" s="2398"/>
      <c r="AM44" s="2399"/>
      <c r="AN44" s="2399"/>
      <c r="AO44" s="2400"/>
      <c r="AP44" s="2398"/>
      <c r="AQ44" s="2399"/>
      <c r="AR44" s="2399"/>
      <c r="AS44" s="2400"/>
      <c r="AT44" s="1544" t="s">
        <v>498</v>
      </c>
      <c r="AU44" s="1544" t="s">
        <v>499</v>
      </c>
      <c r="AV44" s="1544" t="s">
        <v>498</v>
      </c>
      <c r="AW44" s="1544" t="s">
        <v>499</v>
      </c>
      <c r="AX44" s="1554" t="s">
        <v>462</v>
      </c>
      <c r="AY44" s="2335" t="s">
        <v>463</v>
      </c>
      <c r="AZ44" s="2336"/>
      <c r="BA44" s="2344"/>
      <c r="BB44" s="2347"/>
      <c r="BC44" s="2192"/>
      <c r="BI44" s="1220">
        <v>14</v>
      </c>
    </row>
    <row s="4094"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112</v>
      </c>
      <c r="T45" s="1320" t="s">
        <v>113</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295</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126</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295</v>
      </c>
      <c r="B47" s="1428" t="s">
        <v>296</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416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417</v>
      </c>
      <c r="BE47" s="565"/>
      <c r="BF47" s="565" t="str">
        <f>IF(T47="","",T47)</f>
        <v>Территория действия тарифа</v>
      </c>
      <c r="BG47" s="565"/>
      <c r="BH47" s="565"/>
      <c r="BI47" s="1220">
        <v>21</v>
      </c>
    </row>
    <row customHeight="1" ht="35.699999999999996">
      <c r="A48" s="1428" t="s">
        <v>295</v>
      </c>
      <c r="B48" s="1428" t="s">
        <v>296</v>
      </c>
      <c r="C48" s="1428" t="s">
        <v>297</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536</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537</v>
      </c>
      <c r="BE48" s="565"/>
      <c r="BF48" s="565" t="str">
        <f>IF(T48="","",T48)</f>
        <v>Наименование централизованной системы водоотведения</v>
      </c>
      <c r="BG48" s="565"/>
      <c r="BH48" s="565"/>
      <c r="BI48" s="1220">
        <v>34</v>
      </c>
    </row>
    <row s="4423" customFormat="1" customHeight="1" ht="0">
      <c r="A49" s="1408" t="s">
        <v>295</v>
      </c>
      <c r="B49" s="1408" t="s">
        <v>296</v>
      </c>
      <c r="C49" s="1408" t="s">
        <v>297</v>
      </c>
      <c r="D49" s="1408" t="s">
        <v>549</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421</v>
      </c>
      <c r="BE49" s="565"/>
      <c r="BF49" s="565" t="str">
        <f>IF(T49="","",T49)</f>
        <v/>
      </c>
      <c r="BG49" s="565"/>
      <c r="BH49" s="565"/>
      <c r="BI49" s="576">
        <v>0</v>
      </c>
    </row>
    <row s="4423" customFormat="1" customHeight="1" ht="0">
      <c r="A50" s="1408" t="s">
        <v>295</v>
      </c>
      <c r="B50" s="1408" t="s">
        <v>296</v>
      </c>
      <c r="C50" s="1408" t="s">
        <v>297</v>
      </c>
      <c r="D50" s="1408" t="s">
        <v>549</v>
      </c>
      <c r="E50" s="2324"/>
      <c r="F50" s="2324"/>
      <c r="G50" s="2324"/>
      <c r="H50" s="2324"/>
      <c r="I50" s="2321" t="str">
        <f>S49&amp;".1"</f>
        <v>.1</v>
      </c>
      <c r="J50" s="1408"/>
      <c r="K50" s="1408"/>
      <c r="L50" s="1411" t="s">
        <v>422</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423" customFormat="1" customHeight="1" ht="0">
      <c r="A51" s="1408" t="s">
        <v>295</v>
      </c>
      <c r="B51" s="1408" t="s">
        <v>296</v>
      </c>
      <c r="C51" s="1408" t="s">
        <v>297</v>
      </c>
      <c r="D51" s="1408" t="s">
        <v>549</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295</v>
      </c>
      <c r="B52" s="1428" t="s">
        <v>296</v>
      </c>
      <c r="C52" s="1428" t="s">
        <v>297</v>
      </c>
      <c r="D52" s="1428" t="s">
        <v>549</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64</v>
      </c>
      <c r="AB52" s="1799"/>
      <c r="AC52" s="1534" t="s">
        <v>64</v>
      </c>
      <c r="AD52" s="2250" t="s">
        <v>64</v>
      </c>
      <c r="AE52" s="2391"/>
      <c r="AF52" s="2270">
        <v>1</v>
      </c>
      <c r="AG52" s="2428"/>
      <c r="AH52" s="2172" t="s">
        <v>64</v>
      </c>
      <c r="AI52" s="2391"/>
      <c r="AJ52" s="2270">
        <v>1</v>
      </c>
      <c r="AK52" s="2392" t="s">
        <v>28</v>
      </c>
      <c r="AL52" s="2172" t="s">
        <v>64</v>
      </c>
      <c r="AM52" s="2257"/>
      <c r="AN52" s="2270">
        <v>1</v>
      </c>
      <c r="AO52" s="2422"/>
      <c r="AP52" s="2423" t="s">
        <v>64</v>
      </c>
      <c r="AQ52" s="376"/>
      <c r="AR52" s="1551">
        <v>1</v>
      </c>
      <c r="AS52" s="1557" t="s">
        <v>28</v>
      </c>
      <c r="AT52" s="816"/>
      <c r="AU52" s="1322"/>
      <c r="AV52" s="816"/>
      <c r="AW52" s="1322"/>
      <c r="AX52" s="1799"/>
      <c r="AY52" s="1534" t="s">
        <v>64</v>
      </c>
      <c r="AZ52" s="1799"/>
      <c r="BA52" s="1534" t="s">
        <v>64</v>
      </c>
      <c r="BB52" s="1413"/>
      <c r="BC52" s="2318" t="s">
        <v>521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522</v>
      </c>
      <c r="AT53" s="1458"/>
      <c r="AU53" s="1561"/>
      <c r="AV53" s="1458"/>
      <c r="AW53" s="1561"/>
      <c r="AX53" s="1458"/>
      <c r="AY53" s="1458"/>
      <c r="AZ53" s="1458"/>
      <c r="BA53" s="1458"/>
      <c r="BB53" s="1462"/>
      <c r="BC53" s="2319"/>
      <c r="BE53" s="565"/>
      <c r="BF53" s="565"/>
      <c r="BG53" s="565"/>
      <c r="BH53" s="565"/>
      <c r="BI53" s="1220">
        <v>11</v>
      </c>
    </row>
    <row customHeight="1" ht="11.549999999999999">
      <c r="A54" s="1428" t="s">
        <v>295</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542</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295</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543</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295</v>
      </c>
      <c r="B56" s="1428" t="s">
        <v>296</v>
      </c>
      <c r="C56" s="1428" t="s">
        <v>297</v>
      </c>
      <c r="D56" s="1428" t="s">
        <v>549</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525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295</v>
      </c>
      <c r="B57" s="1428" t="s">
        <v>296</v>
      </c>
      <c r="C57" s="1428" t="s">
        <v>297</v>
      </c>
      <c r="D57" s="1428" t="s">
        <v>549</v>
      </c>
      <c r="E57" s="2324"/>
      <c r="F57" s="2324"/>
      <c r="G57" s="2324"/>
      <c r="H57" s="2324"/>
      <c r="I57" s="2351"/>
      <c r="J57" s="2321"/>
      <c r="K57" s="1428"/>
      <c r="L57" s="1429"/>
      <c r="P57" s="2322"/>
      <c r="Q57" s="2322"/>
      <c r="R57" s="421"/>
      <c r="S57" s="1343"/>
      <c r="T57" s="352" t="s">
        <v>488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423" customFormat="1" customHeight="1" ht="0">
      <c r="A58" s="1408" t="s">
        <v>295</v>
      </c>
      <c r="B58" s="1408" t="s">
        <v>296</v>
      </c>
      <c r="C58" s="1408" t="s">
        <v>297</v>
      </c>
      <c r="D58" s="1408" t="s">
        <v>549</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423" customFormat="1" customHeight="1" ht="0">
      <c r="A59" s="1408" t="s">
        <v>295</v>
      </c>
      <c r="B59" s="1408" t="s">
        <v>296</v>
      </c>
      <c r="C59" s="1408" t="s">
        <v>297</v>
      </c>
      <c r="D59" s="1408" t="s">
        <v>549</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423" customFormat="1" customHeight="1" ht="0">
      <c r="A60" s="1408" t="s">
        <v>295</v>
      </c>
      <c r="B60" s="1408" t="s">
        <v>296</v>
      </c>
      <c r="C60" s="1408" t="s">
        <v>297</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423" customFormat="1" customHeight="1" ht="0">
      <c r="A61" s="1408" t="s">
        <v>295</v>
      </c>
      <c r="B61" s="1408" t="s">
        <v>296</v>
      </c>
      <c r="C61" s="1379"/>
      <c r="D61" s="1379"/>
      <c r="E61" s="2324"/>
      <c r="F61" s="2323"/>
      <c r="G61" s="1379"/>
      <c r="H61" s="1379"/>
      <c r="I61" s="1379"/>
      <c r="J61" s="1379"/>
      <c r="K61" s="1379"/>
      <c r="L61" s="1559"/>
      <c r="M61" s="1386"/>
      <c r="N61" s="1386"/>
      <c r="P61" s="1381"/>
      <c r="Q61" s="1382"/>
      <c r="R61" s="1381"/>
      <c r="S61" s="1387"/>
      <c r="T61" s="1390" t="s">
        <v>166</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423" customFormat="1" customHeight="1" ht="0">
      <c r="A62" s="1408" t="s">
        <v>295</v>
      </c>
      <c r="B62" s="1408"/>
      <c r="C62" s="1408"/>
      <c r="D62" s="1408"/>
      <c r="E62" s="2323"/>
      <c r="F62" s="1408"/>
      <c r="G62" s="1408"/>
      <c r="H62" s="1408"/>
      <c r="I62" s="1408"/>
      <c r="J62" s="1408"/>
      <c r="K62" s="1408"/>
      <c r="L62" s="1411"/>
      <c r="M62" s="1386"/>
      <c r="N62" s="1386"/>
      <c r="O62" s="583"/>
      <c r="P62" s="445"/>
      <c r="Q62" s="1409"/>
      <c r="R62" s="445"/>
      <c r="S62" s="1387"/>
      <c r="T62" s="1390" t="s">
        <v>167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423"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168</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85</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B5199-19C1-0E16-AAE1-FE2E972DF4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4.140625" hidden="1" customWidth="1"/>
    <col min="10" max="10" style="4903" width="9.8515625" hidden="1" customWidth="1"/>
    <col min="11" max="11" style="4903" width="14.71093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5.00390625" customWidth="1"/>
    <col min="21" max="21" style="4921" width="0.140625" customWidth="1"/>
    <col min="22" max="28" style="4921" width="19.7109375" hidden="1" customWidth="1"/>
    <col min="29" max="29" style="4921" width="11.7109375" hidden="1" customWidth="1"/>
    <col min="30" max="30" style="4921" width="3.7109375" hidden="1" customWidth="1"/>
    <col min="31" max="31" style="4921" width="11.7109375" hidden="1" customWidth="1"/>
    <col min="32" max="32" style="4921" width="8.57421875" hidden="1" customWidth="1"/>
    <col min="33" max="33" style="4921" width="19.7109375" customWidth="1"/>
    <col min="34" max="39" style="4921" width="19.00390625" customWidth="1"/>
    <col min="40" max="40" style="4921" width="11.00390625" customWidth="1"/>
    <col min="41" max="41" style="4921" width="3.7109375" customWidth="1"/>
    <col min="42" max="42" style="4921" width="11.00390625" customWidth="1"/>
    <col min="43" max="43" style="4921" width="8.57421875" hidden="1" customWidth="1"/>
    <col min="44" max="44" style="4921" width="4.00390625" customWidth="1"/>
    <col min="45" max="45" style="4921" width="115.00390625" customWidth="1"/>
    <col min="46" max="50" style="4423" width="10.00390625" customWidth="1"/>
    <col min="51" max="51" style="4921"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126</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416</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417</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550</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551</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504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425</v>
      </c>
      <c r="P6" s="2322"/>
      <c r="Q6" s="2322">
        <v>1</v>
      </c>
      <c r="R6" s="422"/>
      <c r="S6" s="1558">
        <f>$J6</f>
      </c>
      <c r="T6" s="351" t="s">
        <v>426</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505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64</v>
      </c>
      <c r="AE7" s="2330"/>
      <c r="AF7" s="2172" t="s">
        <v>64</v>
      </c>
      <c r="AG7" s="816"/>
      <c r="AH7" s="816"/>
      <c r="AI7" s="816"/>
      <c r="AJ7" s="816"/>
      <c r="AK7" s="816"/>
      <c r="AL7" s="816"/>
      <c r="AM7" s="816"/>
      <c r="AN7" s="2330"/>
      <c r="AO7" s="2172" t="s">
        <v>64</v>
      </c>
      <c r="AP7" s="2352"/>
      <c r="AQ7" s="2172" t="s">
        <v>64</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506</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507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431</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508</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423"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166</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423"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167</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64</v>
      </c>
      <c r="AP15" s="2332"/>
      <c r="AQ15" s="2333" t="s">
        <v>64</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903" customFormat="1" customHeight="1" ht="22.5" hidden="1">
      <c r="L18" s="1543"/>
      <c r="M18" s="1427"/>
      <c r="N18" s="1427"/>
      <c r="O18" s="1432" t="s">
        <v>433</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903"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903" customFormat="1" customHeight="1" ht="12" hidden="1">
      <c r="L20" s="1543"/>
      <c r="M20" s="1427"/>
      <c r="N20" s="1427"/>
      <c r="O20" s="1429" t="s">
        <v>434</v>
      </c>
      <c r="P20" s="1427"/>
      <c r="Q20" s="1507"/>
      <c r="R20" s="1507"/>
      <c r="S20" s="794"/>
      <c r="T20" s="1225" t="s">
        <v>435</v>
      </c>
      <c r="W20" s="1431"/>
      <c r="X20" s="1431"/>
      <c r="Y20" s="1431"/>
      <c r="Z20" s="1431"/>
      <c r="AA20" s="1431"/>
      <c r="AB20" s="1431"/>
      <c r="AD20" s="251" t="s">
        <v>436</v>
      </c>
      <c r="AF20" s="251" t="s">
        <v>437</v>
      </c>
      <c r="AG20" s="1225" t="s">
        <v>435</v>
      </c>
      <c r="AH20" s="1431"/>
      <c r="AI20" s="1431"/>
      <c r="AJ20" s="1431"/>
      <c r="AK20" s="1431"/>
      <c r="AL20" s="1431"/>
      <c r="AO20" s="251" t="s">
        <v>438</v>
      </c>
      <c r="AQ20" s="251" t="s">
        <v>437</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485"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485" customFormat="1" customHeight="1" ht="18.75">
      <c r="A28" s="1433"/>
      <c r="B28" s="1433"/>
      <c r="C28" s="1433"/>
      <c r="D28" s="1433"/>
      <c r="E28" s="1433"/>
      <c r="F28" s="1433"/>
      <c r="G28" s="1433"/>
      <c r="H28" s="1433"/>
      <c r="I28" s="1433"/>
      <c r="J28" s="1433"/>
      <c r="K28" s="1433"/>
      <c r="L28" s="1434"/>
      <c r="M28" s="1433"/>
      <c r="N28" s="1433"/>
      <c r="O28" s="1433"/>
      <c r="S28" s="2315" t="s">
        <v>439</v>
      </c>
      <c r="T28" s="2315"/>
      <c r="U28" s="1437"/>
      <c r="V28" s="2329" t="str">
        <f>IF(TITLE_DATE_PR_CHANGE="",IF(TITLE_DATE_PR="","",TITLE_DATE_PR),TITLE_DATE_PR_CHANGE)</f>
        <v>45643.434652777774</v>
      </c>
      <c r="W28" s="2329"/>
      <c r="X28" s="2329"/>
      <c r="Y28" s="2329"/>
      <c r="Z28" s="2329"/>
      <c r="AA28" s="2329"/>
      <c r="AB28" s="2329"/>
      <c r="AC28" s="2329"/>
      <c r="AD28" s="2329"/>
      <c r="AE28" s="2329"/>
      <c r="AF28" s="391"/>
      <c r="AG28" s="2329" t="str">
        <f>IF(TITLE_DATE_PR_CHANGE="",IF(TITLE_DATE_PR="","",TITLE_DATE_PR),TITLE_DATE_PR_CHANGE)</f>
        <v>45643.434652777774</v>
      </c>
      <c r="AH28" s="2329"/>
      <c r="AI28" s="2329"/>
      <c r="AJ28" s="2329"/>
      <c r="AK28" s="2329"/>
      <c r="AL28" s="2329"/>
      <c r="AM28" s="2329"/>
      <c r="AN28" s="2329"/>
      <c r="AO28" s="2329"/>
      <c r="AP28" s="2329"/>
      <c r="AQ28" s="391"/>
      <c r="AR28" s="391"/>
      <c r="AS28" s="345"/>
      <c r="AT28" s="433"/>
      <c r="AU28" s="433"/>
      <c r="AV28" s="433"/>
      <c r="AW28" s="433"/>
      <c r="AX28" s="433"/>
      <c r="AY28" s="483">
        <v>0</v>
      </c>
    </row>
    <row s="5485" customFormat="1" customHeight="1" ht="18.75">
      <c r="A29" s="1433"/>
      <c r="B29" s="1433"/>
      <c r="C29" s="1433"/>
      <c r="D29" s="1433"/>
      <c r="E29" s="1433"/>
      <c r="F29" s="1433"/>
      <c r="G29" s="1433"/>
      <c r="H29" s="1433"/>
      <c r="I29" s="1433"/>
      <c r="J29" s="1433"/>
      <c r="K29" s="1433"/>
      <c r="L29" s="1434"/>
      <c r="M29" s="1433"/>
      <c r="N29" s="1433"/>
      <c r="O29" s="1433"/>
      <c r="S29" s="2315" t="s">
        <v>440</v>
      </c>
      <c r="T29" s="2315"/>
      <c r="U29" s="1437"/>
      <c r="V29" s="2316" t="str">
        <f>IF(TITLE_NUMBER_PR_CHANGE="",IF(TITLE_NUMBER_PR="","",TITLE_NUMBER_PR),TITLE_NUMBER_PR_CHANGE)</f>
        <v>71/2</v>
      </c>
      <c r="W29" s="2316"/>
      <c r="X29" s="2316"/>
      <c r="Y29" s="2316"/>
      <c r="Z29" s="2316"/>
      <c r="AA29" s="2316"/>
      <c r="AB29" s="2316"/>
      <c r="AC29" s="2316"/>
      <c r="AD29" s="2316"/>
      <c r="AE29" s="2316"/>
      <c r="AF29" s="391"/>
      <c r="AG29" s="2316" t="str">
        <f>IF(TITLE_NUMBER_PR_CHANGE="",IF(TITLE_NUMBER_PR="","",TITLE_NUMBER_PR),TITLE_NUMBER_PR_CHANGE)</f>
        <v>71/2</v>
      </c>
      <c r="AH29" s="2316"/>
      <c r="AI29" s="2316"/>
      <c r="AJ29" s="2316"/>
      <c r="AK29" s="2316"/>
      <c r="AL29" s="2316"/>
      <c r="AM29" s="2316"/>
      <c r="AN29" s="2316"/>
      <c r="AO29" s="2316"/>
      <c r="AP29" s="2316"/>
      <c r="AQ29" s="391"/>
      <c r="AR29" s="391"/>
      <c r="AS29" s="345"/>
      <c r="AT29" s="433"/>
      <c r="AU29" s="433"/>
      <c r="AV29" s="433"/>
      <c r="AW29" s="433"/>
      <c r="AX29" s="433"/>
      <c r="AY29" s="483">
        <v>0</v>
      </c>
    </row>
    <row s="5485"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Официальный интернет-портал правовой информации Ставропольского края</v>
      </c>
      <c r="W30" s="2316"/>
      <c r="X30" s="2316"/>
      <c r="Y30" s="2316"/>
      <c r="Z30" s="2316"/>
      <c r="AA30" s="2316"/>
      <c r="AB30" s="2316"/>
      <c r="AC30" s="2316"/>
      <c r="AD30" s="2316"/>
      <c r="AE30" s="2316"/>
      <c r="AF30" s="391"/>
      <c r="AG30" s="2316" t="str">
        <f>IF(TITLE_IST_PUB_CHANGE="",IF(TITLE_IST_PUB="","",TITLE_IST_PUB),TITLE_IST_PUB_CHANGE)</f>
        <v>Официальный интернет-портал правовой информации Ставропольского края</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485" customFormat="1" customHeight="1" ht="18.75" hidden="1">
      <c r="A32" s="1433"/>
      <c r="B32" s="1433"/>
      <c r="C32" s="1433"/>
      <c r="D32" s="1433"/>
      <c r="E32" s="1433"/>
      <c r="F32" s="1433"/>
      <c r="G32" s="1433"/>
      <c r="H32" s="1433"/>
      <c r="I32" s="1433"/>
      <c r="J32" s="1433"/>
      <c r="K32" s="1433"/>
      <c r="L32" s="1434"/>
      <c r="M32" s="1433"/>
      <c r="N32" s="1433"/>
      <c r="O32" s="1433"/>
      <c r="S32" s="2315" t="s">
        <v>441</v>
      </c>
      <c r="T32" s="2315"/>
      <c r="U32" s="1437"/>
      <c r="V32" s="2329" t="str">
        <f>IF(TITLE_DATE_PR_CHANGE="",IF(TITLE_DATE_PR="","",TITLE_DATE_PR),TITLE_DATE_PR_CHANGE)</f>
        <v>45643.434652777774</v>
      </c>
      <c r="W32" s="2329"/>
      <c r="X32" s="2329"/>
      <c r="Y32" s="2329"/>
      <c r="Z32" s="2329"/>
      <c r="AA32" s="2329"/>
      <c r="AB32" s="2329"/>
      <c r="AC32" s="2329"/>
      <c r="AD32" s="2329"/>
      <c r="AE32" s="2329"/>
      <c r="AF32" s="391"/>
      <c r="AG32" s="2329" t="str">
        <f>IF(TITLE_DATE_PR_CHANGE="",IF(TITLE_DATE_PR="","",TITLE_DATE_PR),TITLE_DATE_PR_CHANGE)</f>
        <v>45643.434652777774</v>
      </c>
      <c r="AH32" s="2329"/>
      <c r="AI32" s="2329"/>
      <c r="AJ32" s="2329"/>
      <c r="AK32" s="2329"/>
      <c r="AL32" s="2329"/>
      <c r="AM32" s="2329"/>
      <c r="AN32" s="2329"/>
      <c r="AO32" s="2329"/>
      <c r="AP32" s="2329"/>
      <c r="AQ32" s="391"/>
      <c r="AR32" s="391"/>
      <c r="AS32" s="345"/>
      <c r="AT32" s="433"/>
      <c r="AU32" s="433"/>
      <c r="AV32" s="433"/>
      <c r="AW32" s="433"/>
      <c r="AX32" s="433"/>
      <c r="AY32" s="483">
        <v>0</v>
      </c>
    </row>
    <row s="5485" customFormat="1" customHeight="1" ht="18.75" hidden="1">
      <c r="A33" s="1433"/>
      <c r="B33" s="1433"/>
      <c r="C33" s="1433"/>
      <c r="D33" s="1433"/>
      <c r="E33" s="1433"/>
      <c r="F33" s="1433"/>
      <c r="G33" s="1433"/>
      <c r="H33" s="1433"/>
      <c r="I33" s="1433"/>
      <c r="J33" s="1433"/>
      <c r="K33" s="1433"/>
      <c r="L33" s="1434"/>
      <c r="M33" s="1433"/>
      <c r="N33" s="1433"/>
      <c r="O33" s="1433"/>
      <c r="S33" s="2315" t="s">
        <v>442</v>
      </c>
      <c r="T33" s="2315"/>
      <c r="U33" s="1437"/>
      <c r="V33" s="2316" t="str">
        <f>IF(TITLE_NUMBER_PR_CHANGE="",IF(TITLE_NUMBER_PR="","",TITLE_NUMBER_PR),TITLE_NUMBER_PR_CHANGE)</f>
        <v>71/2</v>
      </c>
      <c r="W33" s="2316"/>
      <c r="X33" s="2316"/>
      <c r="Y33" s="2316"/>
      <c r="Z33" s="2316"/>
      <c r="AA33" s="2316"/>
      <c r="AB33" s="2316"/>
      <c r="AC33" s="2316"/>
      <c r="AD33" s="2316"/>
      <c r="AE33" s="2316"/>
      <c r="AF33" s="391"/>
      <c r="AG33" s="2316" t="str">
        <f>IF(TITLE_NUMBER_PR_CHANGE="",IF(TITLE_NUMBER_PR="","",TITLE_NUMBER_PR),TITLE_NUMBER_PR_CHANGE)</f>
        <v>71/2</v>
      </c>
      <c r="AH33" s="2316"/>
      <c r="AI33" s="2316"/>
      <c r="AJ33" s="2316"/>
      <c r="AK33" s="2316"/>
      <c r="AL33" s="2316"/>
      <c r="AM33" s="2316"/>
      <c r="AN33" s="2316"/>
      <c r="AO33" s="2316"/>
      <c r="AP33" s="2316"/>
      <c r="AQ33" s="391"/>
      <c r="AR33" s="391"/>
      <c r="AS33" s="345"/>
      <c r="AT33" s="433"/>
      <c r="AU33" s="433"/>
      <c r="AV33" s="433"/>
      <c r="AW33" s="433"/>
      <c r="AX33" s="433"/>
      <c r="AY33" s="483">
        <v>0</v>
      </c>
    </row>
    <row s="5485"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443</v>
      </c>
      <c r="AG34" s="391"/>
      <c r="AH34" s="1700"/>
      <c r="AI34" s="1700"/>
      <c r="AJ34" s="1700"/>
      <c r="AK34" s="1700"/>
      <c r="AL34" s="1700"/>
      <c r="AM34" s="391"/>
      <c r="AN34" s="391"/>
      <c r="AO34" s="391"/>
      <c r="AP34" s="391"/>
      <c r="AQ34" s="343" t="s">
        <v>443</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319</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320</v>
      </c>
      <c r="AY36" s="1220">
        <v>14</v>
      </c>
    </row>
    <row customHeight="1" ht="14.699999999999998">
      <c r="Q37" s="441"/>
      <c r="R37" s="441"/>
      <c r="S37" s="2338" t="s">
        <v>91</v>
      </c>
      <c r="T37" s="2274" t="s">
        <v>444</v>
      </c>
      <c r="U37" s="366"/>
      <c r="V37" s="2339" t="s">
        <v>445</v>
      </c>
      <c r="W37" s="2356"/>
      <c r="X37" s="2356"/>
      <c r="Y37" s="2356"/>
      <c r="Z37" s="2356"/>
      <c r="AA37" s="2356"/>
      <c r="AB37" s="2356"/>
      <c r="AC37" s="2340"/>
      <c r="AD37" s="2340"/>
      <c r="AE37" s="2341"/>
      <c r="AF37" s="2342" t="s">
        <v>446</v>
      </c>
      <c r="AG37" s="2339" t="s">
        <v>445</v>
      </c>
      <c r="AH37" s="2340"/>
      <c r="AI37" s="2340"/>
      <c r="AJ37" s="2340"/>
      <c r="AK37" s="2340"/>
      <c r="AL37" s="2340"/>
      <c r="AM37" s="2340"/>
      <c r="AN37" s="2340"/>
      <c r="AO37" s="2340"/>
      <c r="AP37" s="2341"/>
      <c r="AQ37" s="2342" t="s">
        <v>447</v>
      </c>
      <c r="AR37" s="2345" t="s">
        <v>448</v>
      </c>
      <c r="AS37" s="2192"/>
      <c r="AY37" s="1220">
        <v>14</v>
      </c>
    </row>
    <row customHeight="1" ht="19.95">
      <c r="Q38" s="441"/>
      <c r="R38" s="441"/>
      <c r="S38" s="2338"/>
      <c r="T38" s="2274"/>
      <c r="U38" s="1096"/>
      <c r="V38" s="2431" t="s">
        <v>552</v>
      </c>
      <c r="W38" s="2430" t="s">
        <v>553</v>
      </c>
      <c r="X38" s="2430"/>
      <c r="Y38" s="2430"/>
      <c r="Z38" s="2430" t="s">
        <v>554</v>
      </c>
      <c r="AA38" s="2430"/>
      <c r="AB38" s="2430"/>
      <c r="AC38" s="2359" t="s">
        <v>452</v>
      </c>
      <c r="AD38" s="2378"/>
      <c r="AE38" s="2379"/>
      <c r="AF38" s="2343"/>
      <c r="AG38" s="2431" t="s">
        <v>552</v>
      </c>
      <c r="AH38" s="2430" t="s">
        <v>553</v>
      </c>
      <c r="AI38" s="2430"/>
      <c r="AJ38" s="2430"/>
      <c r="AK38" s="2430" t="s">
        <v>554</v>
      </c>
      <c r="AL38" s="2430"/>
      <c r="AM38" s="2430"/>
      <c r="AN38" s="2359" t="s">
        <v>452</v>
      </c>
      <c r="AO38" s="2378"/>
      <c r="AP38" s="2379"/>
      <c r="AQ38" s="2343"/>
      <c r="AR38" s="2346"/>
      <c r="AS38" s="2192"/>
      <c r="AY38" s="1220">
        <v>19</v>
      </c>
    </row>
    <row s="4921"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555</v>
      </c>
      <c r="X39" s="2430" t="s">
        <v>556</v>
      </c>
      <c r="Y39" s="2430"/>
      <c r="Z39" s="2430" t="s">
        <v>557</v>
      </c>
      <c r="AA39" s="2430" t="s">
        <v>556</v>
      </c>
      <c r="AB39" s="2430"/>
      <c r="AC39" s="2360"/>
      <c r="AD39" s="2380"/>
      <c r="AE39" s="2381"/>
      <c r="AF39" s="2343"/>
      <c r="AG39" s="2431"/>
      <c r="AH39" s="2430" t="s">
        <v>555</v>
      </c>
      <c r="AI39" s="2430" t="s">
        <v>556</v>
      </c>
      <c r="AJ39" s="2430"/>
      <c r="AK39" s="2430" t="s">
        <v>557</v>
      </c>
      <c r="AL39" s="2430" t="s">
        <v>556</v>
      </c>
      <c r="AM39" s="2430"/>
      <c r="AN39" s="2360"/>
      <c r="AO39" s="2380"/>
      <c r="AP39" s="2381"/>
      <c r="AQ39" s="2343"/>
      <c r="AR39" s="2346"/>
      <c r="AS39" s="2192"/>
      <c r="AT39" s="1701"/>
      <c r="AU39" s="1701"/>
      <c r="AV39" s="1701"/>
      <c r="AW39" s="1701"/>
      <c r="AX39" s="1701"/>
      <c r="AY39" s="1696">
        <v>19</v>
      </c>
    </row>
    <row customHeight="1" ht="61.949999999999996">
      <c r="A40" s="1435"/>
      <c r="B40" s="1435" t="s">
        <v>138</v>
      </c>
      <c r="C40" s="1435" t="s">
        <v>139</v>
      </c>
      <c r="D40" s="1435" t="s">
        <v>140</v>
      </c>
      <c r="E40" s="1429" t="s">
        <v>453</v>
      </c>
      <c r="F40" s="1429" t="s">
        <v>454</v>
      </c>
      <c r="G40" s="1429" t="s">
        <v>455</v>
      </c>
      <c r="H40" s="1429"/>
      <c r="I40" s="1429" t="s">
        <v>510</v>
      </c>
      <c r="J40" s="1429" t="s">
        <v>458</v>
      </c>
      <c r="K40" s="1429" t="s">
        <v>511</v>
      </c>
      <c r="L40" s="1429" t="s">
        <v>434</v>
      </c>
      <c r="Q40" s="441"/>
      <c r="R40" s="441"/>
      <c r="S40" s="2338"/>
      <c r="T40" s="2274"/>
      <c r="U40" s="367"/>
      <c r="V40" s="2431"/>
      <c r="W40" s="2430"/>
      <c r="X40" s="2048" t="s">
        <v>558</v>
      </c>
      <c r="Y40" s="2048" t="s">
        <v>559</v>
      </c>
      <c r="Z40" s="2430"/>
      <c r="AA40" s="2048" t="s">
        <v>560</v>
      </c>
      <c r="AB40" s="2048" t="s">
        <v>561</v>
      </c>
      <c r="AC40" s="1554" t="s">
        <v>462</v>
      </c>
      <c r="AD40" s="2335" t="s">
        <v>463</v>
      </c>
      <c r="AE40" s="2336"/>
      <c r="AF40" s="2344"/>
      <c r="AG40" s="2431"/>
      <c r="AH40" s="2430"/>
      <c r="AI40" s="2048" t="s">
        <v>558</v>
      </c>
      <c r="AJ40" s="2048" t="s">
        <v>559</v>
      </c>
      <c r="AK40" s="2430"/>
      <c r="AL40" s="2048" t="s">
        <v>560</v>
      </c>
      <c r="AM40" s="2048" t="s">
        <v>561</v>
      </c>
      <c r="AN40" s="1554" t="s">
        <v>462</v>
      </c>
      <c r="AO40" s="2335" t="s">
        <v>463</v>
      </c>
      <c r="AP40" s="2336"/>
      <c r="AQ40" s="2344"/>
      <c r="AR40" s="2347"/>
      <c r="AS40" s="2192"/>
      <c r="AY40" s="1220">
        <v>59</v>
      </c>
    </row>
    <row s="4094"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112</v>
      </c>
      <c r="T41" s="1320" t="s">
        <v>113</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270</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126</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270</v>
      </c>
      <c r="B43" s="1428" t="s">
        <v>271</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416</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417</v>
      </c>
      <c r="AU43" s="565"/>
      <c r="AV43" s="565" t="str">
        <f>IF(T43="","",T43)</f>
        <v>Территория действия тарифа</v>
      </c>
      <c r="AW43" s="565"/>
      <c r="AX43" s="565"/>
      <c r="AY43" s="1220">
        <v>23</v>
      </c>
    </row>
    <row customHeight="1" ht="24">
      <c r="A44" s="1428" t="s">
        <v>270</v>
      </c>
      <c r="B44" s="1428" t="s">
        <v>271</v>
      </c>
      <c r="C44" s="1428" t="s">
        <v>272</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550</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551</v>
      </c>
      <c r="AU44" s="565"/>
      <c r="AV44" s="565" t="str">
        <f>IF(T44="","",T44)</f>
        <v>Наименование централизованной системы горячего водоснабжения</v>
      </c>
      <c r="AW44" s="565"/>
      <c r="AX44" s="565"/>
      <c r="AY44" s="1220">
        <v>23</v>
      </c>
    </row>
    <row customHeight="1" ht="24">
      <c r="A45" s="1428" t="s">
        <v>270</v>
      </c>
      <c r="B45" s="1428" t="s">
        <v>271</v>
      </c>
      <c r="C45" s="1428" t="s">
        <v>272</v>
      </c>
      <c r="D45" s="1428" t="s">
        <v>562</v>
      </c>
      <c r="E45" s="2324"/>
      <c r="F45" s="2324"/>
      <c r="G45" s="2324"/>
      <c r="H45" s="2324"/>
      <c r="I45" s="2321" t="str">
        <f>S44&amp;".1"</f>
        <v>...1</v>
      </c>
      <c r="J45" s="1428"/>
      <c r="K45" s="1428"/>
      <c r="L45" s="1429"/>
      <c r="P45" s="2322">
        <v>1</v>
      </c>
      <c r="Q45" s="1546"/>
      <c r="R45" s="421"/>
      <c r="S45" s="1558" t="str">
        <f>$I45</f>
        <v>...1</v>
      </c>
      <c r="T45" s="350" t="s">
        <v>503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504</v>
      </c>
      <c r="AU45" s="565"/>
      <c r="AV45" s="565" t="str">
        <f>IF(T45="","",T45)</f>
        <v>Наименование признака дифференциации</v>
      </c>
      <c r="AW45" s="565"/>
      <c r="AX45" s="565"/>
      <c r="AY45" s="1220">
        <v>23</v>
      </c>
    </row>
    <row customHeight="1" ht="24">
      <c r="A46" s="1428" t="s">
        <v>270</v>
      </c>
      <c r="B46" s="1428" t="s">
        <v>271</v>
      </c>
      <c r="C46" s="1428" t="s">
        <v>272</v>
      </c>
      <c r="D46" s="1428" t="s">
        <v>562</v>
      </c>
      <c r="E46" s="2324"/>
      <c r="F46" s="2324"/>
      <c r="G46" s="2324"/>
      <c r="H46" s="2324"/>
      <c r="I46" s="2351"/>
      <c r="J46" s="2321" t="str">
        <f>I45&amp;".1"</f>
        <v>...1.1</v>
      </c>
      <c r="K46" s="1428"/>
      <c r="L46" s="1429" t="s">
        <v>425</v>
      </c>
      <c r="P46" s="2322"/>
      <c r="Q46" s="2322">
        <v>1</v>
      </c>
      <c r="R46" s="422"/>
      <c r="S46" s="1558" t="str">
        <f>$J46</f>
        <v>...1.1</v>
      </c>
      <c r="T46" s="351" t="s">
        <v>426</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505</v>
      </c>
      <c r="AU46" s="565"/>
      <c r="AV46" s="565" t="str">
        <f>IF(T46="","",T46)</f>
        <v>Группа потребителей</v>
      </c>
      <c r="AW46" s="565"/>
      <c r="AX46" s="565"/>
      <c r="AY46" s="1220">
        <v>23</v>
      </c>
    </row>
    <row customHeight="1" ht="24">
      <c r="A47" s="1428" t="s">
        <v>270</v>
      </c>
      <c r="B47" s="1428" t="s">
        <v>271</v>
      </c>
      <c r="C47" s="1428" t="s">
        <v>272</v>
      </c>
      <c r="D47" s="1428" t="s">
        <v>562</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64</v>
      </c>
      <c r="AE47" s="2332"/>
      <c r="AF47" s="2333" t="s">
        <v>64</v>
      </c>
      <c r="AG47" s="816"/>
      <c r="AH47" s="816"/>
      <c r="AI47" s="816"/>
      <c r="AJ47" s="816"/>
      <c r="AK47" s="816"/>
      <c r="AL47" s="816"/>
      <c r="AM47" s="816"/>
      <c r="AN47" s="2330"/>
      <c r="AO47" s="2172" t="s">
        <v>64</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270</v>
      </c>
      <c r="B48" s="1428" t="s">
        <v>271</v>
      </c>
      <c r="C48" s="1428" t="s">
        <v>272</v>
      </c>
      <c r="D48" s="1428" t="s">
        <v>562</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270</v>
      </c>
      <c r="B49" s="1428" t="s">
        <v>271</v>
      </c>
      <c r="C49" s="1428" t="s">
        <v>272</v>
      </c>
      <c r="D49" s="1428" t="s">
        <v>562</v>
      </c>
      <c r="E49" s="2324"/>
      <c r="F49" s="2324"/>
      <c r="G49" s="2324"/>
      <c r="H49" s="2324"/>
      <c r="I49" s="2351"/>
      <c r="J49" s="2321"/>
      <c r="K49" s="1428"/>
      <c r="L49" s="1429"/>
      <c r="P49" s="2322"/>
      <c r="Q49" s="2322"/>
      <c r="R49" s="421"/>
      <c r="S49" s="1343"/>
      <c r="T49" s="352" t="s">
        <v>506</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507</v>
      </c>
      <c r="AU49" s="565"/>
      <c r="AV49" s="565" t="str">
        <f>IF(T49="","",T49)</f>
        <v>Добавить значение признака дифференциации</v>
      </c>
      <c r="AW49" s="565"/>
      <c r="AX49" s="565"/>
      <c r="AY49" s="1220">
        <v>20</v>
      </c>
    </row>
    <row customHeight="1" ht="22.049999999999997">
      <c r="A50" s="1428" t="s">
        <v>270</v>
      </c>
      <c r="B50" s="1428" t="s">
        <v>271</v>
      </c>
      <c r="C50" s="1428" t="s">
        <v>272</v>
      </c>
      <c r="D50" s="1428" t="s">
        <v>562</v>
      </c>
      <c r="E50" s="2324"/>
      <c r="F50" s="2324"/>
      <c r="G50" s="2324"/>
      <c r="H50" s="2324"/>
      <c r="I50" s="2321"/>
      <c r="J50" s="1428"/>
      <c r="K50" s="1428"/>
      <c r="L50" s="1429"/>
      <c r="P50" s="2322"/>
      <c r="Q50" s="1546"/>
      <c r="R50" s="421"/>
      <c r="S50" s="1343"/>
      <c r="T50" s="430" t="s">
        <v>431</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270</v>
      </c>
      <c r="B51" s="1428" t="s">
        <v>271</v>
      </c>
      <c r="C51" s="1428" t="s">
        <v>272</v>
      </c>
      <c r="D51" s="1428" t="s">
        <v>562</v>
      </c>
      <c r="E51" s="2324"/>
      <c r="F51" s="2324"/>
      <c r="G51" s="2324"/>
      <c r="H51" s="2323"/>
      <c r="I51" s="1428"/>
      <c r="J51" s="1428"/>
      <c r="K51" s="1428"/>
      <c r="L51" s="1429"/>
      <c r="M51" s="1430"/>
      <c r="N51" s="1430"/>
      <c r="O51" s="602"/>
      <c r="P51" s="425"/>
      <c r="Q51" s="440"/>
      <c r="R51" s="420"/>
      <c r="S51" s="1343"/>
      <c r="T51" s="437" t="s">
        <v>508</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423" customFormat="1" customHeight="1" ht="0">
      <c r="A52" s="1408" t="s">
        <v>270</v>
      </c>
      <c r="B52" s="1408" t="s">
        <v>271</v>
      </c>
      <c r="C52" s="1379"/>
      <c r="D52" s="1379"/>
      <c r="E52" s="2324"/>
      <c r="F52" s="2323"/>
      <c r="G52" s="1379"/>
      <c r="H52" s="1379"/>
      <c r="I52" s="1379"/>
      <c r="J52" s="1379"/>
      <c r="K52" s="1379"/>
      <c r="L52" s="1559"/>
      <c r="M52" s="1386"/>
      <c r="N52" s="1386"/>
      <c r="P52" s="1381"/>
      <c r="Q52" s="1382"/>
      <c r="R52" s="1381"/>
      <c r="S52" s="1387"/>
      <c r="T52" s="1390" t="s">
        <v>166</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423" customFormat="1" customHeight="1" ht="0">
      <c r="A53" s="1408" t="s">
        <v>270</v>
      </c>
      <c r="B53" s="1408"/>
      <c r="C53" s="1408"/>
      <c r="D53" s="1408"/>
      <c r="E53" s="2323"/>
      <c r="F53" s="1408"/>
      <c r="G53" s="1408"/>
      <c r="H53" s="1408"/>
      <c r="I53" s="1408"/>
      <c r="J53" s="1408"/>
      <c r="K53" s="1408"/>
      <c r="L53" s="1411"/>
      <c r="M53" s="1386"/>
      <c r="N53" s="1386"/>
      <c r="O53" s="583"/>
      <c r="P53" s="445"/>
      <c r="Q53" s="1409"/>
      <c r="R53" s="445"/>
      <c r="S53" s="1387"/>
      <c r="T53" s="1390" t="s">
        <v>167</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423"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168</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85</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33089-0B11-4649-A6D8-9D9767BAEF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4.140625" hidden="1" customWidth="1"/>
    <col min="10" max="10" style="4903" width="9.8515625" hidden="1" customWidth="1"/>
    <col min="11" max="11" style="4903" width="14.7109375" hidden="1" customWidth="1"/>
    <col min="12" max="12" style="5422" width="19.140625" hidden="1" customWidth="1"/>
    <col min="13" max="14" style="4107" width="12.28125" hidden="1" customWidth="1"/>
    <col min="15" max="15" style="4107" width="23.421875" hidden="1" customWidth="1"/>
    <col min="16" max="16" style="5625" width="3.00390625" customWidth="1"/>
    <col min="17" max="18" style="4943" width="3.00390625" customWidth="1"/>
    <col min="19" max="19" style="5599" width="12.00390625" customWidth="1"/>
    <col min="20" max="20" style="4921" width="35.00390625" customWidth="1"/>
    <col min="21" max="21" style="4921" width="0.140625" customWidth="1"/>
    <col min="22" max="28" style="4921" width="19.7109375" hidden="1" customWidth="1"/>
    <col min="29" max="29" style="4921" width="11.7109375" hidden="1" customWidth="1"/>
    <col min="30" max="30" style="4921" width="3.7109375" hidden="1" customWidth="1"/>
    <col min="31" max="31" style="4921" width="11.7109375" hidden="1" customWidth="1"/>
    <col min="32" max="32" style="4921" width="8.57421875" hidden="1" customWidth="1"/>
    <col min="33" max="33" style="4921" width="19.7109375" customWidth="1"/>
    <col min="34" max="39" style="4921" width="19.00390625" customWidth="1"/>
    <col min="40" max="40" style="4921" width="11.00390625" customWidth="1"/>
    <col min="41" max="41" style="4921" width="3.7109375" customWidth="1"/>
    <col min="42" max="42" style="4921" width="11.00390625" customWidth="1"/>
    <col min="43" max="43" style="4921" width="8.57421875" hidden="1" customWidth="1"/>
    <col min="44" max="44" style="4921" width="4.00390625" customWidth="1"/>
    <col min="45" max="45" style="4921" width="115.00390625" customWidth="1"/>
    <col min="46" max="50" style="4423" width="10.00390625" customWidth="1"/>
    <col min="51" max="51" style="4921"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126</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416</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417</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550</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551</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503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504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425</v>
      </c>
      <c r="P6" s="2322"/>
      <c r="Q6" s="2322">
        <v>1</v>
      </c>
      <c r="R6" s="422"/>
      <c r="S6" s="1558">
        <f>$J6</f>
      </c>
      <c r="T6" s="351" t="s">
        <v>426</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505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64</v>
      </c>
      <c r="AE7" s="2330"/>
      <c r="AF7" s="2172" t="s">
        <v>64</v>
      </c>
      <c r="AG7" s="816"/>
      <c r="AH7" s="816"/>
      <c r="AI7" s="816"/>
      <c r="AJ7" s="816"/>
      <c r="AK7" s="816"/>
      <c r="AL7" s="816"/>
      <c r="AM7" s="1322"/>
      <c r="AN7" s="2330"/>
      <c r="AO7" s="2172" t="s">
        <v>64</v>
      </c>
      <c r="AP7" s="2352"/>
      <c r="AQ7" s="2172" t="s">
        <v>64</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506</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507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431</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508</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423"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166</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423"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167</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64</v>
      </c>
      <c r="AP15" s="2332"/>
      <c r="AQ15" s="2333" t="s">
        <v>64</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903" customFormat="1" customHeight="1" ht="22.5" hidden="1">
      <c r="L18" s="1543"/>
      <c r="M18" s="1427"/>
      <c r="N18" s="1427"/>
      <c r="O18" s="1432" t="s">
        <v>433</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903"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903" customFormat="1" customHeight="1" ht="12" hidden="1">
      <c r="L20" s="1543"/>
      <c r="M20" s="1427"/>
      <c r="N20" s="1427"/>
      <c r="O20" s="1429" t="s">
        <v>434</v>
      </c>
      <c r="P20" s="1427"/>
      <c r="Q20" s="1507"/>
      <c r="R20" s="1507"/>
      <c r="S20" s="794"/>
      <c r="T20" s="1225" t="s">
        <v>435</v>
      </c>
      <c r="W20" s="1431"/>
      <c r="X20" s="1431"/>
      <c r="Y20" s="1431"/>
      <c r="Z20" s="1431"/>
      <c r="AA20" s="1431"/>
      <c r="AD20" s="251" t="s">
        <v>436</v>
      </c>
      <c r="AF20" s="251" t="s">
        <v>437</v>
      </c>
      <c r="AG20" s="1225" t="s">
        <v>435</v>
      </c>
      <c r="AH20" s="1431"/>
      <c r="AI20" s="1431"/>
      <c r="AJ20" s="1431"/>
      <c r="AK20" s="1431"/>
      <c r="AL20" s="1431"/>
      <c r="AO20" s="251" t="s">
        <v>438</v>
      </c>
      <c r="AQ20" s="251" t="s">
        <v>437</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Филиал ПАО "ОГК-2"-Ставропольская ГРЭС</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485"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485" customFormat="1" customHeight="1" ht="18.75">
      <c r="A28" s="1433"/>
      <c r="B28" s="1433"/>
      <c r="C28" s="1433"/>
      <c r="D28" s="1433"/>
      <c r="E28" s="1433"/>
      <c r="F28" s="1433"/>
      <c r="G28" s="1433"/>
      <c r="H28" s="1433"/>
      <c r="I28" s="1433"/>
      <c r="J28" s="1433"/>
      <c r="K28" s="1433"/>
      <c r="L28" s="1434"/>
      <c r="M28" s="1433"/>
      <c r="N28" s="1433"/>
      <c r="O28" s="1433"/>
      <c r="S28" s="2315" t="s">
        <v>439</v>
      </c>
      <c r="T28" s="2315"/>
      <c r="U28" s="1437"/>
      <c r="V28" s="2329" t="str">
        <f>IF(TITLE_DATE_PR_CHANGE="",IF(TITLE_DATE_PR="","",TITLE_DATE_PR),TITLE_DATE_PR_CHANGE)</f>
        <v>45643.434652777774</v>
      </c>
      <c r="W28" s="2329"/>
      <c r="X28" s="2329"/>
      <c r="Y28" s="2329"/>
      <c r="Z28" s="2329"/>
      <c r="AA28" s="2329"/>
      <c r="AB28" s="2329"/>
      <c r="AC28" s="2329"/>
      <c r="AD28" s="2329"/>
      <c r="AE28" s="2329"/>
      <c r="AF28" s="391"/>
      <c r="AG28" s="2329" t="str">
        <f>IF(TITLE_DATE_PR_CHANGE="",IF(TITLE_DATE_PR="","",TITLE_DATE_PR),TITLE_DATE_PR_CHANGE)</f>
        <v>45643.434652777774</v>
      </c>
      <c r="AH28" s="2329"/>
      <c r="AI28" s="2329"/>
      <c r="AJ28" s="2329"/>
      <c r="AK28" s="2329"/>
      <c r="AL28" s="2329"/>
      <c r="AM28" s="2329"/>
      <c r="AN28" s="2329"/>
      <c r="AO28" s="2329"/>
      <c r="AP28" s="2329"/>
      <c r="AQ28" s="391"/>
      <c r="AR28" s="391"/>
      <c r="AS28" s="345"/>
      <c r="AT28" s="433"/>
      <c r="AU28" s="433"/>
      <c r="AV28" s="433"/>
      <c r="AW28" s="433"/>
      <c r="AX28" s="433"/>
      <c r="AY28" s="483">
        <v>0</v>
      </c>
    </row>
    <row s="5485" customFormat="1" customHeight="1" ht="18.75">
      <c r="A29" s="1433"/>
      <c r="B29" s="1433"/>
      <c r="C29" s="1433"/>
      <c r="D29" s="1433"/>
      <c r="E29" s="1433"/>
      <c r="F29" s="1433"/>
      <c r="G29" s="1433"/>
      <c r="H29" s="1433"/>
      <c r="I29" s="1433"/>
      <c r="J29" s="1433"/>
      <c r="K29" s="1433"/>
      <c r="L29" s="1434"/>
      <c r="M29" s="1433"/>
      <c r="N29" s="1433"/>
      <c r="O29" s="1433"/>
      <c r="S29" s="2315" t="s">
        <v>440</v>
      </c>
      <c r="T29" s="2315"/>
      <c r="U29" s="1437"/>
      <c r="V29" s="2316" t="str">
        <f>IF(TITLE_NUMBER_PR_CHANGE="",IF(TITLE_NUMBER_PR="","",TITLE_NUMBER_PR),TITLE_NUMBER_PR_CHANGE)</f>
        <v>71/2</v>
      </c>
      <c r="W29" s="2316"/>
      <c r="X29" s="2316"/>
      <c r="Y29" s="2316"/>
      <c r="Z29" s="2316"/>
      <c r="AA29" s="2316"/>
      <c r="AB29" s="2316"/>
      <c r="AC29" s="2316"/>
      <c r="AD29" s="2316"/>
      <c r="AE29" s="2316"/>
      <c r="AF29" s="391"/>
      <c r="AG29" s="2316" t="str">
        <f>IF(TITLE_NUMBER_PR_CHANGE="",IF(TITLE_NUMBER_PR="","",TITLE_NUMBER_PR),TITLE_NUMBER_PR_CHANGE)</f>
        <v>71/2</v>
      </c>
      <c r="AH29" s="2316"/>
      <c r="AI29" s="2316"/>
      <c r="AJ29" s="2316"/>
      <c r="AK29" s="2316"/>
      <c r="AL29" s="2316"/>
      <c r="AM29" s="2316"/>
      <c r="AN29" s="2316"/>
      <c r="AO29" s="2316"/>
      <c r="AP29" s="2316"/>
      <c r="AQ29" s="391"/>
      <c r="AR29" s="391"/>
      <c r="AS29" s="345"/>
      <c r="AT29" s="433"/>
      <c r="AU29" s="433"/>
      <c r="AV29" s="433"/>
      <c r="AW29" s="433"/>
      <c r="AX29" s="433"/>
      <c r="AY29" s="483">
        <v>0</v>
      </c>
    </row>
    <row s="5485"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Официальный интернет-портал правовой информации Ставропольского края</v>
      </c>
      <c r="W30" s="2316"/>
      <c r="X30" s="2316"/>
      <c r="Y30" s="2316"/>
      <c r="Z30" s="2316"/>
      <c r="AA30" s="2316"/>
      <c r="AB30" s="2316"/>
      <c r="AC30" s="2316"/>
      <c r="AD30" s="2316"/>
      <c r="AE30" s="2316"/>
      <c r="AF30" s="391"/>
      <c r="AG30" s="2316" t="str">
        <f>IF(TITLE_IST_PUB_CHANGE="",IF(TITLE_IST_PUB="","",TITLE_IST_PUB),TITLE_IST_PUB_CHANGE)</f>
        <v>Официальный интернет-портал правовой информации Ставропольского края</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485" customFormat="1" customHeight="1" ht="18.75" hidden="1">
      <c r="A32" s="1433"/>
      <c r="B32" s="1433"/>
      <c r="C32" s="1433"/>
      <c r="D32" s="1433"/>
      <c r="E32" s="1433"/>
      <c r="F32" s="1433"/>
      <c r="G32" s="1433"/>
      <c r="H32" s="1433"/>
      <c r="I32" s="1433"/>
      <c r="J32" s="1433"/>
      <c r="K32" s="1433"/>
      <c r="L32" s="1434"/>
      <c r="M32" s="1433"/>
      <c r="N32" s="1433"/>
      <c r="O32" s="1433"/>
      <c r="S32" s="2315" t="s">
        <v>441</v>
      </c>
      <c r="T32" s="2315"/>
      <c r="U32" s="1437"/>
      <c r="V32" s="2329" t="str">
        <f>IF(TITLE_DATE_PR_CHANGE="",IF(TITLE_DATE_PR="","",TITLE_DATE_PR),TITLE_DATE_PR_CHANGE)</f>
        <v>45643.434652777774</v>
      </c>
      <c r="W32" s="2329"/>
      <c r="X32" s="2329"/>
      <c r="Y32" s="2329"/>
      <c r="Z32" s="2329"/>
      <c r="AA32" s="2329"/>
      <c r="AB32" s="2329"/>
      <c r="AC32" s="2329"/>
      <c r="AD32" s="2329"/>
      <c r="AE32" s="2329"/>
      <c r="AF32" s="391"/>
      <c r="AG32" s="2329" t="str">
        <f>IF(TITLE_DATE_PR_CHANGE="",IF(TITLE_DATE_PR="","",TITLE_DATE_PR),TITLE_DATE_PR_CHANGE)</f>
        <v>45643.434652777774</v>
      </c>
      <c r="AH32" s="2329"/>
      <c r="AI32" s="2329"/>
      <c r="AJ32" s="2329"/>
      <c r="AK32" s="2329"/>
      <c r="AL32" s="2329"/>
      <c r="AM32" s="2329"/>
      <c r="AN32" s="2329"/>
      <c r="AO32" s="2329"/>
      <c r="AP32" s="2329"/>
      <c r="AQ32" s="391"/>
      <c r="AR32" s="391"/>
      <c r="AS32" s="345"/>
      <c r="AT32" s="433"/>
      <c r="AU32" s="433"/>
      <c r="AV32" s="433"/>
      <c r="AW32" s="433"/>
      <c r="AX32" s="433"/>
      <c r="AY32" s="483">
        <v>0</v>
      </c>
    </row>
    <row s="5485" customFormat="1" customHeight="1" ht="18.75" hidden="1">
      <c r="A33" s="1433"/>
      <c r="B33" s="1433"/>
      <c r="C33" s="1433"/>
      <c r="D33" s="1433"/>
      <c r="E33" s="1433"/>
      <c r="F33" s="1433"/>
      <c r="G33" s="1433"/>
      <c r="H33" s="1433"/>
      <c r="I33" s="1433"/>
      <c r="J33" s="1433"/>
      <c r="K33" s="1433"/>
      <c r="L33" s="1434"/>
      <c r="M33" s="1433"/>
      <c r="N33" s="1433"/>
      <c r="O33" s="1433"/>
      <c r="S33" s="2315" t="s">
        <v>442</v>
      </c>
      <c r="T33" s="2315"/>
      <c r="U33" s="1437"/>
      <c r="V33" s="2316" t="str">
        <f>IF(TITLE_NUMBER_PR_CHANGE="",IF(TITLE_NUMBER_PR="","",TITLE_NUMBER_PR),TITLE_NUMBER_PR_CHANGE)</f>
        <v>71/2</v>
      </c>
      <c r="W33" s="2316"/>
      <c r="X33" s="2316"/>
      <c r="Y33" s="2316"/>
      <c r="Z33" s="2316"/>
      <c r="AA33" s="2316"/>
      <c r="AB33" s="2316"/>
      <c r="AC33" s="2316"/>
      <c r="AD33" s="2316"/>
      <c r="AE33" s="2316"/>
      <c r="AF33" s="391"/>
      <c r="AG33" s="2316" t="str">
        <f>IF(TITLE_NUMBER_PR_CHANGE="",IF(TITLE_NUMBER_PR="","",TITLE_NUMBER_PR),TITLE_NUMBER_PR_CHANGE)</f>
        <v>71/2</v>
      </c>
      <c r="AH33" s="2316"/>
      <c r="AI33" s="2316"/>
      <c r="AJ33" s="2316"/>
      <c r="AK33" s="2316"/>
      <c r="AL33" s="2316"/>
      <c r="AM33" s="2316"/>
      <c r="AN33" s="2316"/>
      <c r="AO33" s="2316"/>
      <c r="AP33" s="2316"/>
      <c r="AQ33" s="391"/>
      <c r="AR33" s="391"/>
      <c r="AS33" s="345"/>
      <c r="AT33" s="433"/>
      <c r="AU33" s="433"/>
      <c r="AV33" s="433"/>
      <c r="AW33" s="433"/>
      <c r="AX33" s="433"/>
      <c r="AY33" s="483">
        <v>0</v>
      </c>
    </row>
    <row s="5485"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443</v>
      </c>
      <c r="AG34" s="391"/>
      <c r="AH34" s="1700"/>
      <c r="AI34" s="1700"/>
      <c r="AJ34" s="1700"/>
      <c r="AK34" s="1700"/>
      <c r="AL34" s="1700"/>
      <c r="AM34" s="391"/>
      <c r="AN34" s="391"/>
      <c r="AO34" s="391"/>
      <c r="AP34" s="391"/>
      <c r="AQ34" s="343" t="s">
        <v>443</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319</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320</v>
      </c>
      <c r="AY36" s="1220">
        <v>14</v>
      </c>
    </row>
    <row customHeight="1" ht="14.699999999999998">
      <c r="Q37" s="441"/>
      <c r="R37" s="441"/>
      <c r="S37" s="2338" t="s">
        <v>91</v>
      </c>
      <c r="T37" s="2274" t="s">
        <v>444</v>
      </c>
      <c r="U37" s="366"/>
      <c r="V37" s="2339" t="s">
        <v>445</v>
      </c>
      <c r="W37" s="2340"/>
      <c r="X37" s="2340"/>
      <c r="Y37" s="2340"/>
      <c r="Z37" s="2340"/>
      <c r="AA37" s="2340"/>
      <c r="AB37" s="2340"/>
      <c r="AC37" s="2340"/>
      <c r="AD37" s="2340"/>
      <c r="AE37" s="2341"/>
      <c r="AF37" s="2342" t="s">
        <v>446</v>
      </c>
      <c r="AG37" s="2339" t="s">
        <v>445</v>
      </c>
      <c r="AH37" s="2340"/>
      <c r="AI37" s="2340"/>
      <c r="AJ37" s="2340"/>
      <c r="AK37" s="2340"/>
      <c r="AL37" s="2340"/>
      <c r="AM37" s="2340"/>
      <c r="AN37" s="2340"/>
      <c r="AO37" s="2340"/>
      <c r="AP37" s="2341"/>
      <c r="AQ37" s="2342" t="s">
        <v>447</v>
      </c>
      <c r="AR37" s="2345" t="s">
        <v>448</v>
      </c>
      <c r="AS37" s="2192"/>
      <c r="AY37" s="1220">
        <v>14</v>
      </c>
    </row>
    <row s="4921"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552</v>
      </c>
      <c r="W38" s="2430" t="s">
        <v>553</v>
      </c>
      <c r="X38" s="2430"/>
      <c r="Y38" s="2430"/>
      <c r="Z38" s="2430" t="s">
        <v>554</v>
      </c>
      <c r="AA38" s="2430"/>
      <c r="AB38" s="2430"/>
      <c r="AC38" s="2359" t="s">
        <v>452</v>
      </c>
      <c r="AD38" s="2378"/>
      <c r="AE38" s="2379"/>
      <c r="AF38" s="2343"/>
      <c r="AG38" s="2431" t="s">
        <v>552</v>
      </c>
      <c r="AH38" s="2430" t="s">
        <v>553</v>
      </c>
      <c r="AI38" s="2430"/>
      <c r="AJ38" s="2430"/>
      <c r="AK38" s="2430" t="s">
        <v>554</v>
      </c>
      <c r="AL38" s="2430"/>
      <c r="AM38" s="2430"/>
      <c r="AN38" s="2359" t="s">
        <v>452</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555</v>
      </c>
      <c r="X39" s="2430" t="s">
        <v>556</v>
      </c>
      <c r="Y39" s="2430"/>
      <c r="Z39" s="2430" t="s">
        <v>557</v>
      </c>
      <c r="AA39" s="2430" t="s">
        <v>556</v>
      </c>
      <c r="AB39" s="2430"/>
      <c r="AC39" s="2360"/>
      <c r="AD39" s="2380"/>
      <c r="AE39" s="2381"/>
      <c r="AF39" s="2343"/>
      <c r="AG39" s="2431"/>
      <c r="AH39" s="2430" t="s">
        <v>555</v>
      </c>
      <c r="AI39" s="2430" t="s">
        <v>556</v>
      </c>
      <c r="AJ39" s="2430"/>
      <c r="AK39" s="2430" t="s">
        <v>557</v>
      </c>
      <c r="AL39" s="2430" t="s">
        <v>556</v>
      </c>
      <c r="AM39" s="2430"/>
      <c r="AN39" s="2360"/>
      <c r="AO39" s="2380"/>
      <c r="AP39" s="2381"/>
      <c r="AQ39" s="2343"/>
      <c r="AR39" s="2346"/>
      <c r="AS39" s="2192"/>
      <c r="AY39" s="1220">
        <v>19</v>
      </c>
    </row>
    <row customHeight="1" ht="61.949999999999996">
      <c r="A40" s="1435"/>
      <c r="B40" s="1435" t="s">
        <v>138</v>
      </c>
      <c r="C40" s="1435" t="s">
        <v>139</v>
      </c>
      <c r="D40" s="1435" t="s">
        <v>140</v>
      </c>
      <c r="E40" s="1429" t="s">
        <v>453</v>
      </c>
      <c r="F40" s="1429" t="s">
        <v>454</v>
      </c>
      <c r="G40" s="1429" t="s">
        <v>455</v>
      </c>
      <c r="H40" s="1429"/>
      <c r="I40" s="1429" t="s">
        <v>510</v>
      </c>
      <c r="J40" s="1429" t="s">
        <v>458</v>
      </c>
      <c r="K40" s="1429" t="s">
        <v>511</v>
      </c>
      <c r="L40" s="1429" t="s">
        <v>434</v>
      </c>
      <c r="Q40" s="441"/>
      <c r="R40" s="441"/>
      <c r="S40" s="2338"/>
      <c r="T40" s="2274"/>
      <c r="U40" s="367"/>
      <c r="V40" s="2431"/>
      <c r="W40" s="2430"/>
      <c r="X40" s="2048" t="s">
        <v>558</v>
      </c>
      <c r="Y40" s="2048" t="s">
        <v>559</v>
      </c>
      <c r="Z40" s="2430"/>
      <c r="AA40" s="2048" t="s">
        <v>560</v>
      </c>
      <c r="AB40" s="2048" t="s">
        <v>561</v>
      </c>
      <c r="AC40" s="1554" t="s">
        <v>462</v>
      </c>
      <c r="AD40" s="2335" t="s">
        <v>463</v>
      </c>
      <c r="AE40" s="2336"/>
      <c r="AF40" s="2344"/>
      <c r="AG40" s="2431"/>
      <c r="AH40" s="2430"/>
      <c r="AI40" s="2048" t="s">
        <v>558</v>
      </c>
      <c r="AJ40" s="2048" t="s">
        <v>559</v>
      </c>
      <c r="AK40" s="2430"/>
      <c r="AL40" s="2048" t="s">
        <v>560</v>
      </c>
      <c r="AM40" s="2048" t="s">
        <v>561</v>
      </c>
      <c r="AN40" s="1554" t="s">
        <v>462</v>
      </c>
      <c r="AO40" s="2335" t="s">
        <v>463</v>
      </c>
      <c r="AP40" s="2336"/>
      <c r="AQ40" s="2344"/>
      <c r="AR40" s="2347"/>
      <c r="AS40" s="2192"/>
      <c r="AY40" s="1220">
        <v>59</v>
      </c>
    </row>
    <row s="4094"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112</v>
      </c>
      <c r="T41" s="1320" t="s">
        <v>113</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275</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126</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275</v>
      </c>
      <c r="B43" s="1428" t="s">
        <v>276</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416</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417</v>
      </c>
      <c r="AU43" s="565"/>
      <c r="AV43" s="565" t="str">
        <f>IF(T43="","",T43)</f>
        <v>Территория действия тарифа</v>
      </c>
      <c r="AW43" s="565"/>
      <c r="AX43" s="565"/>
      <c r="AY43" s="1220">
        <v>23</v>
      </c>
    </row>
    <row customHeight="1" ht="24">
      <c r="A44" s="1428" t="s">
        <v>275</v>
      </c>
      <c r="B44" s="1428" t="s">
        <v>276</v>
      </c>
      <c r="C44" s="1428" t="s">
        <v>277</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550</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551</v>
      </c>
      <c r="AU44" s="565"/>
      <c r="AV44" s="565" t="str">
        <f>IF(T44="","",T44)</f>
        <v>Наименование централизованной системы горячего водоснабжения</v>
      </c>
      <c r="AW44" s="565"/>
      <c r="AX44" s="565"/>
      <c r="AY44" s="1220">
        <v>23</v>
      </c>
    </row>
    <row customHeight="1" ht="24">
      <c r="A45" s="1428" t="s">
        <v>275</v>
      </c>
      <c r="B45" s="1428" t="s">
        <v>276</v>
      </c>
      <c r="C45" s="1428" t="s">
        <v>277</v>
      </c>
      <c r="D45" s="1428" t="s">
        <v>563</v>
      </c>
      <c r="E45" s="2324"/>
      <c r="F45" s="2324"/>
      <c r="G45" s="2324"/>
      <c r="H45" s="2324"/>
      <c r="I45" s="2321" t="str">
        <f>S44&amp;".1"</f>
        <v>...1</v>
      </c>
      <c r="J45" s="1428"/>
      <c r="K45" s="1428"/>
      <c r="L45" s="1429"/>
      <c r="P45" s="2322">
        <v>1</v>
      </c>
      <c r="Q45" s="1546"/>
      <c r="R45" s="421"/>
      <c r="S45" s="1558" t="str">
        <f>$I45</f>
        <v>...1</v>
      </c>
      <c r="T45" s="350" t="s">
        <v>503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504</v>
      </c>
      <c r="AU45" s="565"/>
      <c r="AV45" s="565" t="str">
        <f>IF(T45="","",T45)</f>
        <v>Наименование признака дифференциации</v>
      </c>
      <c r="AW45" s="565"/>
      <c r="AX45" s="565"/>
      <c r="AY45" s="1220">
        <v>23</v>
      </c>
    </row>
    <row customHeight="1" ht="24">
      <c r="A46" s="1428" t="s">
        <v>275</v>
      </c>
      <c r="B46" s="1428" t="s">
        <v>276</v>
      </c>
      <c r="C46" s="1428" t="s">
        <v>277</v>
      </c>
      <c r="D46" s="1428" t="s">
        <v>563</v>
      </c>
      <c r="E46" s="2324"/>
      <c r="F46" s="2324"/>
      <c r="G46" s="2324"/>
      <c r="H46" s="2324"/>
      <c r="I46" s="2351"/>
      <c r="J46" s="2321" t="str">
        <f>I45&amp;".1"</f>
        <v>...1.1</v>
      </c>
      <c r="K46" s="1428"/>
      <c r="L46" s="1429" t="s">
        <v>425</v>
      </c>
      <c r="P46" s="2322"/>
      <c r="Q46" s="2322">
        <v>1</v>
      </c>
      <c r="R46" s="422"/>
      <c r="S46" s="1558" t="str">
        <f>$J46</f>
        <v>...1.1</v>
      </c>
      <c r="T46" s="351" t="s">
        <v>426</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505</v>
      </c>
      <c r="AU46" s="565"/>
      <c r="AV46" s="565" t="str">
        <f>IF(T46="","",T46)</f>
        <v>Группа потребителей</v>
      </c>
      <c r="AW46" s="565"/>
      <c r="AX46" s="565"/>
      <c r="AY46" s="1220">
        <v>23</v>
      </c>
    </row>
    <row customHeight="1" ht="24">
      <c r="A47" s="1428" t="s">
        <v>275</v>
      </c>
      <c r="B47" s="1428" t="s">
        <v>276</v>
      </c>
      <c r="C47" s="1428" t="s">
        <v>277</v>
      </c>
      <c r="D47" s="1428" t="s">
        <v>563</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64</v>
      </c>
      <c r="AE47" s="2332"/>
      <c r="AF47" s="2333" t="s">
        <v>64</v>
      </c>
      <c r="AG47" s="816"/>
      <c r="AH47" s="816"/>
      <c r="AI47" s="816"/>
      <c r="AJ47" s="816"/>
      <c r="AK47" s="816"/>
      <c r="AL47" s="816"/>
      <c r="AM47" s="1322"/>
      <c r="AN47" s="2330"/>
      <c r="AO47" s="2172" t="s">
        <v>64</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275</v>
      </c>
      <c r="B48" s="1428" t="s">
        <v>276</v>
      </c>
      <c r="C48" s="1428" t="s">
        <v>277</v>
      </c>
      <c r="D48" s="1428" t="s">
        <v>563</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275</v>
      </c>
      <c r="B49" s="1428" t="s">
        <v>276</v>
      </c>
      <c r="C49" s="1428" t="s">
        <v>277</v>
      </c>
      <c r="D49" s="1428" t="s">
        <v>563</v>
      </c>
      <c r="E49" s="2324"/>
      <c r="F49" s="2324"/>
      <c r="G49" s="2324"/>
      <c r="H49" s="2324"/>
      <c r="I49" s="2351"/>
      <c r="J49" s="2321"/>
      <c r="K49" s="1428"/>
      <c r="L49" s="1429"/>
      <c r="P49" s="2322"/>
      <c r="Q49" s="2322"/>
      <c r="R49" s="421"/>
      <c r="S49" s="1343"/>
      <c r="T49" s="352" t="s">
        <v>506</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507</v>
      </c>
      <c r="AU49" s="565"/>
      <c r="AV49" s="565" t="str">
        <f>IF(T49="","",T49)</f>
        <v>Добавить значение признака дифференциации</v>
      </c>
      <c r="AW49" s="565"/>
      <c r="AX49" s="565"/>
      <c r="AY49" s="1220">
        <v>20</v>
      </c>
    </row>
    <row customHeight="1" ht="22.049999999999997">
      <c r="A50" s="1428" t="s">
        <v>275</v>
      </c>
      <c r="B50" s="1428" t="s">
        <v>276</v>
      </c>
      <c r="C50" s="1428" t="s">
        <v>277</v>
      </c>
      <c r="D50" s="1428" t="s">
        <v>563</v>
      </c>
      <c r="E50" s="2324"/>
      <c r="F50" s="2324"/>
      <c r="G50" s="2324"/>
      <c r="H50" s="2324"/>
      <c r="I50" s="2321"/>
      <c r="J50" s="1428"/>
      <c r="K50" s="1428"/>
      <c r="L50" s="1429"/>
      <c r="P50" s="2322"/>
      <c r="Q50" s="1546"/>
      <c r="R50" s="421"/>
      <c r="S50" s="1343"/>
      <c r="T50" s="430" t="s">
        <v>431</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275</v>
      </c>
      <c r="B51" s="1428" t="s">
        <v>276</v>
      </c>
      <c r="C51" s="1428" t="s">
        <v>277</v>
      </c>
      <c r="D51" s="1428" t="s">
        <v>563</v>
      </c>
      <c r="E51" s="2324"/>
      <c r="F51" s="2324"/>
      <c r="G51" s="2324"/>
      <c r="H51" s="2323"/>
      <c r="I51" s="1428"/>
      <c r="J51" s="1428"/>
      <c r="K51" s="1428"/>
      <c r="L51" s="1429"/>
      <c r="M51" s="1430"/>
      <c r="N51" s="1430"/>
      <c r="O51" s="602"/>
      <c r="P51" s="425"/>
      <c r="Q51" s="440"/>
      <c r="R51" s="420"/>
      <c r="S51" s="1343"/>
      <c r="T51" s="437" t="s">
        <v>508</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423" customFormat="1" customHeight="1" ht="0">
      <c r="A52" s="1408" t="s">
        <v>275</v>
      </c>
      <c r="B52" s="1408" t="s">
        <v>276</v>
      </c>
      <c r="C52" s="1379"/>
      <c r="D52" s="1379"/>
      <c r="E52" s="2324"/>
      <c r="F52" s="2323"/>
      <c r="G52" s="1379"/>
      <c r="H52" s="1379"/>
      <c r="I52" s="1379"/>
      <c r="J52" s="1379"/>
      <c r="K52" s="1379"/>
      <c r="L52" s="1559"/>
      <c r="M52" s="1386"/>
      <c r="N52" s="1386"/>
      <c r="P52" s="1381"/>
      <c r="Q52" s="1382"/>
      <c r="R52" s="1381"/>
      <c r="S52" s="1387"/>
      <c r="T52" s="1390" t="s">
        <v>166</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423" customFormat="1" customHeight="1" ht="0">
      <c r="A53" s="1408" t="s">
        <v>275</v>
      </c>
      <c r="B53" s="1408"/>
      <c r="C53" s="1408"/>
      <c r="D53" s="1408"/>
      <c r="E53" s="2323"/>
      <c r="F53" s="1408"/>
      <c r="G53" s="1408"/>
      <c r="H53" s="1408"/>
      <c r="I53" s="1408"/>
      <c r="J53" s="1408"/>
      <c r="K53" s="1408"/>
      <c r="L53" s="1411"/>
      <c r="M53" s="1386"/>
      <c r="N53" s="1386"/>
      <c r="O53" s="583"/>
      <c r="P53" s="445"/>
      <c r="Q53" s="1409"/>
      <c r="R53" s="445"/>
      <c r="S53" s="1387"/>
      <c r="T53" s="1390" t="s">
        <v>167</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423"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168</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85</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A5069-7E6A-08EA-17DD-9CEC217D3F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903" width="11.57421875" hidden="1" customWidth="1"/>
    <col min="2" max="2" style="4903" width="11.00390625" hidden="1" customWidth="1"/>
    <col min="3" max="3" style="4903" width="10.57421875" hidden="1"/>
    <col min="4" max="4" style="4903" width="12.8515625" hidden="1" customWidth="1"/>
    <col min="5" max="5" style="4903" width="10.00390625" hidden="1" customWidth="1"/>
    <col min="6" max="6" style="4903" width="8.7109375" hidden="1" customWidth="1"/>
    <col min="7" max="7" style="4903" width="7.57421875" hidden="1" customWidth="1"/>
    <col min="8" max="8" style="4903" width="11.421875" hidden="1" customWidth="1"/>
    <col min="9" max="9" style="4903" width="12.00390625" hidden="1" customWidth="1"/>
    <col min="10" max="10" style="4903" width="9.8515625" hidden="1" customWidth="1"/>
    <col min="11" max="11" style="4903" width="11.421875" hidden="1" customWidth="1"/>
    <col min="12" max="12" style="5422" width="19.140625" hidden="1" customWidth="1"/>
    <col min="13" max="14" style="4107" width="12.28125" hidden="1" customWidth="1"/>
    <col min="15" max="15" style="4107" width="23.421875" hidden="1" customWidth="1"/>
    <col min="16" max="16" style="4107" width="3.7109375" hidden="1" customWidth="1"/>
    <col min="17" max="17" style="3716" width="3.7109375" hidden="1" customWidth="1"/>
    <col min="18" max="18" style="4943" width="3.00390625" customWidth="1"/>
    <col min="19" max="19" style="5599" width="12.00390625" customWidth="1"/>
    <col min="20" max="20" style="4921" width="31.00390625" customWidth="1"/>
    <col min="21" max="21" style="4921" width="0.140625" customWidth="1"/>
    <col min="22" max="25" style="4921" width="21.7109375" hidden="1" customWidth="1"/>
    <col min="26" max="26" style="4921" width="11.7109375" hidden="1" customWidth="1"/>
    <col min="27" max="27" style="4921" width="3.7109375" hidden="1" customWidth="1"/>
    <col min="28" max="28" style="4921" width="11.7109375" hidden="1" customWidth="1"/>
    <col min="29" max="29" style="4921" width="8.57421875" hidden="1" customWidth="1"/>
    <col min="30" max="30" style="4921" width="3.7109375" customWidth="1"/>
    <col min="31" max="32" style="4921" width="3.00390625" customWidth="1"/>
    <col min="33" max="33" style="4921" width="24.00390625" customWidth="1"/>
    <col min="34" max="34" style="4921" width="3.7109375" customWidth="1"/>
    <col min="35" max="36" style="4921" width="3.00390625" customWidth="1"/>
    <col min="37" max="37" style="4921" width="24.00390625" customWidth="1"/>
    <col min="38" max="38" style="4921" width="3.7109375" customWidth="1"/>
    <col min="39" max="40" style="4921" width="3.00390625" customWidth="1"/>
    <col min="41" max="41" style="4921" width="18.00390625" customWidth="1"/>
    <col min="42" max="42" style="4921" width="3.7109375" customWidth="1"/>
    <col min="43" max="44" style="4921" width="3.00390625" customWidth="1"/>
    <col min="45" max="45" style="4921" width="18.00390625" customWidth="1"/>
    <col min="46" max="49" style="4921" width="21.00390625" customWidth="1"/>
    <col min="50" max="50" style="4921" width="11.00390625" customWidth="1"/>
    <col min="51" max="51" style="4921" width="3.7109375" customWidth="1"/>
    <col min="52" max="52" style="4921" width="11.00390625" customWidth="1"/>
    <col min="53" max="53" style="4921" width="8.57421875" hidden="1" customWidth="1"/>
    <col min="54" max="54" style="4921" width="4.00390625" customWidth="1"/>
    <col min="55" max="55" style="4921" width="115.00390625" customWidth="1"/>
    <col min="56" max="60" style="4423" width="10.00390625" customWidth="1"/>
    <col min="61" max="61" style="4921"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126</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416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417</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550</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551</v>
      </c>
      <c r="BE4" s="565"/>
      <c r="BF4" s="565" t="str">
        <f>IF(T4="","",T4)</f>
        <v>Наименование централизованной системы горячего водоснабжения</v>
      </c>
      <c r="BG4" s="565"/>
      <c r="BH4" s="565"/>
      <c r="BI4" s="1220">
        <v>0</v>
      </c>
    </row>
    <row s="4423"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421</v>
      </c>
      <c r="BE5" s="565"/>
      <c r="BF5" s="565" t="str">
        <f>IF(T5="","",T5)</f>
        <v/>
      </c>
      <c r="BG5" s="565"/>
      <c r="BH5" s="565"/>
      <c r="BI5" s="576">
        <v>0</v>
      </c>
    </row>
    <row s="4423" customFormat="1" customHeight="1" ht="14.25" hidden="1">
      <c r="A6" s="1408"/>
      <c r="B6" s="1408"/>
      <c r="C6" s="1408"/>
      <c r="D6" s="1408"/>
      <c r="E6" s="2324"/>
      <c r="F6" s="2324"/>
      <c r="G6" s="2324"/>
      <c r="H6" s="2324"/>
      <c r="I6" s="2321" t="str">
        <f>S5&amp;".1"</f>
        <v>.1</v>
      </c>
      <c r="J6" s="1408"/>
      <c r="K6" s="1408"/>
      <c r="L6" s="1411" t="s">
        <v>422</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423"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64</v>
      </c>
      <c r="AB8" s="1799"/>
      <c r="AC8" s="1534" t="s">
        <v>64</v>
      </c>
      <c r="AD8" s="2250" t="s">
        <v>64</v>
      </c>
      <c r="AE8" s="2391"/>
      <c r="AF8" s="2270">
        <v>1</v>
      </c>
      <c r="AG8" s="2428"/>
      <c r="AH8" s="2172" t="s">
        <v>64</v>
      </c>
      <c r="AI8" s="2391"/>
      <c r="AJ8" s="2270">
        <v>1</v>
      </c>
      <c r="AK8" s="2392" t="s">
        <v>28</v>
      </c>
      <c r="AL8" s="2172" t="s">
        <v>64</v>
      </c>
      <c r="AM8" s="2257"/>
      <c r="AN8" s="2270">
        <v>1</v>
      </c>
      <c r="AO8" s="2422"/>
      <c r="AP8" s="2423" t="s">
        <v>64</v>
      </c>
      <c r="AQ8" s="376"/>
      <c r="AR8" s="1551">
        <v>1</v>
      </c>
      <c r="AS8" s="1557" t="s">
        <v>28</v>
      </c>
      <c r="AT8" s="816"/>
      <c r="AU8" s="1322"/>
      <c r="AV8" s="816"/>
      <c r="AW8" s="1322"/>
      <c r="AX8" s="1799"/>
      <c r="AY8" s="1534" t="s">
        <v>64</v>
      </c>
      <c r="AZ8" s="1799"/>
      <c r="BA8" s="1534" t="s">
        <v>64</v>
      </c>
      <c r="BB8" s="1413"/>
      <c r="BC8" s="2318" t="s">
        <v>521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522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525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488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423"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423"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423"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423"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166</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423"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167</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64</v>
      </c>
      <c r="AZ20" s="1801"/>
      <c r="BA20" s="1550" t="s">
        <v>64</v>
      </c>
      <c r="BI20" s="1220">
        <v>0</v>
      </c>
    </row>
    <row customHeight="1" ht="14.25" hidden="1">
      <c r="BD21" s="561"/>
      <c r="BE21" s="561"/>
      <c r="BF21" s="561"/>
      <c r="BG21" s="561"/>
      <c r="BH21" s="561"/>
      <c r="BI21" s="1220">
        <v>0</v>
      </c>
    </row>
    <row customHeight="1" ht="14.25" hidden="1">
      <c r="O22" s="1432" t="s">
        <v>433</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4146" customFormat="1" customHeight="1" ht="14.25" hidden="1">
      <c r="M24" s="1573"/>
      <c r="N24" s="1573"/>
      <c r="O24" s="1574" t="s">
        <v>434</v>
      </c>
      <c r="P24" s="1573"/>
      <c r="Q24" s="1575"/>
      <c r="R24" s="1575"/>
      <c r="AA24" s="1572" t="s">
        <v>436</v>
      </c>
      <c r="AC24" s="1572" t="s">
        <v>437</v>
      </c>
      <c r="AD24" s="1572" t="s">
        <v>489</v>
      </c>
      <c r="AH24" s="1572" t="s">
        <v>489</v>
      </c>
      <c r="AK24" s="1572" t="s">
        <v>526</v>
      </c>
      <c r="AL24" s="1572" t="s">
        <v>489</v>
      </c>
      <c r="AP24" s="1572" t="s">
        <v>489</v>
      </c>
      <c r="AY24" s="1572" t="s">
        <v>436</v>
      </c>
      <c r="BA24" s="1572" t="s">
        <v>437</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Филиал ПАО "ОГК-2"-Ставропольская ГРЭС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485"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485" customFormat="1" customHeight="1" ht="18.75">
      <c r="A32" s="1433"/>
      <c r="B32" s="1433"/>
      <c r="C32" s="1433"/>
      <c r="D32" s="1433"/>
      <c r="E32" s="1433"/>
      <c r="F32" s="1433"/>
      <c r="G32" s="1433"/>
      <c r="H32" s="1433"/>
      <c r="I32" s="1433"/>
      <c r="J32" s="1433"/>
      <c r="K32" s="1433"/>
      <c r="L32" s="1434"/>
      <c r="M32" s="1433"/>
      <c r="N32" s="1433"/>
      <c r="O32" s="1433"/>
      <c r="P32" s="1433"/>
      <c r="Q32" s="1433"/>
      <c r="S32" s="2315" t="s">
        <v>439</v>
      </c>
      <c r="T32" s="2315"/>
      <c r="U32" s="1437"/>
      <c r="V32" s="2329" t="str">
        <f>IF(TITLE_DATE_PR_CHANGE="",IF(TITLE_DATE_PR="","",TITLE_DATE_PR),TITLE_DATE_PR_CHANGE)</f>
        <v>45643.434652777774</v>
      </c>
      <c r="W32" s="2329"/>
      <c r="X32" s="2329"/>
      <c r="Y32" s="2329"/>
      <c r="Z32" s="2329"/>
      <c r="AA32" s="2329"/>
      <c r="AB32" s="2329"/>
      <c r="AC32" s="391"/>
      <c r="AD32" s="2329" t="str">
        <f>IF(TITLE_DATE_PR_CHANGE="",IF(TITLE_DATE_PR="","",TITLE_DATE_PR),TITLE_DATE_PR_CHANGE)</f>
        <v>45643.434652777774</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485" customFormat="1" customHeight="1" ht="18.75">
      <c r="A33" s="1433"/>
      <c r="B33" s="1433"/>
      <c r="C33" s="1433"/>
      <c r="D33" s="1433"/>
      <c r="E33" s="1433"/>
      <c r="F33" s="1433"/>
      <c r="G33" s="1433"/>
      <c r="H33" s="1433"/>
      <c r="I33" s="1433"/>
      <c r="J33" s="1433"/>
      <c r="K33" s="1433"/>
      <c r="L33" s="1434"/>
      <c r="M33" s="1433"/>
      <c r="N33" s="1433"/>
      <c r="O33" s="1433"/>
      <c r="P33" s="1433"/>
      <c r="Q33" s="1433"/>
      <c r="S33" s="2315" t="s">
        <v>440</v>
      </c>
      <c r="T33" s="2315"/>
      <c r="U33" s="1437"/>
      <c r="V33" s="2316" t="str">
        <f>IF(TITLE_NUMBER_PR_CHANGE="",IF(TITLE_NUMBER_PR="","",TITLE_NUMBER_PR),TITLE_NUMBER_PR_CHANGE)</f>
        <v>71/2</v>
      </c>
      <c r="W33" s="2316"/>
      <c r="X33" s="2316"/>
      <c r="Y33" s="2316"/>
      <c r="Z33" s="2316"/>
      <c r="AA33" s="2316"/>
      <c r="AB33" s="2316"/>
      <c r="AC33" s="391"/>
      <c r="AD33" s="2316" t="str">
        <f>IF(TITLE_NUMBER_PR_CHANGE="",IF(TITLE_NUMBER_PR="","",TITLE_NUMBER_PR),TITLE_NUMBER_PR_CHANGE)</f>
        <v>71/2</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485"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Официальный интернет-портал правовой информации Ставропольского края</v>
      </c>
      <c r="W34" s="2316"/>
      <c r="X34" s="2316"/>
      <c r="Y34" s="2316"/>
      <c r="Z34" s="2316"/>
      <c r="AA34" s="2316"/>
      <c r="AB34" s="2316"/>
      <c r="AC34" s="391"/>
      <c r="AD34" s="2316" t="str">
        <f>IF(TITLE_IST_PUB_CHANGE="",IF(TITLE_IST_PUB="","",TITLE_IST_PUB),TITLE_IST_PUB_CHANGE)</f>
        <v>Официальный интернет-портал правовой информации Ставропольского края</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485"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439</v>
      </c>
      <c r="T36" s="2315"/>
      <c r="U36" s="1437"/>
      <c r="V36" s="2329" t="str">
        <f>IF(TITLE_DATE_PR_CHANGE="",IF(TITLE_DATE_PR="","",TITLE_DATE_PR),TITLE_DATE_PR_CHANGE)</f>
        <v>45643.434652777774</v>
      </c>
      <c r="W36" s="2329"/>
      <c r="X36" s="2329"/>
      <c r="Y36" s="2329"/>
      <c r="Z36" s="2329"/>
      <c r="AA36" s="2329"/>
      <c r="AB36" s="2329"/>
      <c r="AC36" s="391"/>
      <c r="AD36" s="2329" t="str">
        <f>IF(TITLE_DATE_PR_CHANGE="",IF(TITLE_DATE_PR="","",TITLE_DATE_PR),TITLE_DATE_PR_CHANGE)</f>
        <v>45643.434652777774</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485"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440</v>
      </c>
      <c r="T37" s="2315"/>
      <c r="U37" s="1437"/>
      <c r="V37" s="2316" t="str">
        <f>IF(TITLE_NUMBER_PR_CHANGE="",IF(TITLE_NUMBER_PR="","",TITLE_NUMBER_PR),TITLE_NUMBER_PR_CHANGE)</f>
        <v>71/2</v>
      </c>
      <c r="W37" s="2316"/>
      <c r="X37" s="2316"/>
      <c r="Y37" s="2316"/>
      <c r="Z37" s="2316"/>
      <c r="AA37" s="2316"/>
      <c r="AB37" s="2316"/>
      <c r="AC37" s="391"/>
      <c r="AD37" s="2316" t="str">
        <f>IF(TITLE_NUMBER_PR_CHANGE="",IF(TITLE_NUMBER_PR="","",TITLE_NUMBER_PR),TITLE_NUMBER_PR_CHANGE)</f>
        <v>71/2</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485"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443</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443</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319</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320</v>
      </c>
      <c r="BI40" s="1220">
        <v>14</v>
      </c>
    </row>
    <row customHeight="1" ht="14.699999999999998">
      <c r="Q41" s="356"/>
      <c r="R41" s="441"/>
      <c r="S41" s="2338" t="s">
        <v>91</v>
      </c>
      <c r="T41" s="2274" t="s">
        <v>527</v>
      </c>
      <c r="U41" s="366"/>
      <c r="V41" s="2339" t="s">
        <v>445</v>
      </c>
      <c r="W41" s="2340"/>
      <c r="X41" s="2340"/>
      <c r="Y41" s="2340"/>
      <c r="Z41" s="2340"/>
      <c r="AA41" s="2340"/>
      <c r="AB41" s="2341"/>
      <c r="AC41" s="2342" t="s">
        <v>446</v>
      </c>
      <c r="AD41" s="2393" t="s">
        <v>528</v>
      </c>
      <c r="AE41" s="2356"/>
      <c r="AF41" s="2356"/>
      <c r="AG41" s="2394"/>
      <c r="AH41" s="2393" t="s">
        <v>529</v>
      </c>
      <c r="AI41" s="2356"/>
      <c r="AJ41" s="2356"/>
      <c r="AK41" s="2394"/>
      <c r="AL41" s="2393" t="s">
        <v>530</v>
      </c>
      <c r="AM41" s="2356"/>
      <c r="AN41" s="2356"/>
      <c r="AO41" s="2394"/>
      <c r="AP41" s="2393" t="s">
        <v>531</v>
      </c>
      <c r="AQ41" s="2356"/>
      <c r="AR41" s="2356"/>
      <c r="AS41" s="2394"/>
      <c r="AT41" s="2339" t="s">
        <v>445</v>
      </c>
      <c r="AU41" s="2340"/>
      <c r="AV41" s="2340"/>
      <c r="AW41" s="2340"/>
      <c r="AX41" s="2340"/>
      <c r="AY41" s="2340"/>
      <c r="AZ41" s="2341"/>
      <c r="BA41" s="2342" t="s">
        <v>446</v>
      </c>
      <c r="BB41" s="2345" t="s">
        <v>448</v>
      </c>
      <c r="BC41" s="2192"/>
      <c r="BI41" s="1220">
        <v>14</v>
      </c>
    </row>
    <row customHeight="1" ht="35.699999999999996">
      <c r="Q42" s="356"/>
      <c r="R42" s="441"/>
      <c r="S42" s="2338"/>
      <c r="T42" s="2274"/>
      <c r="U42" s="1096"/>
      <c r="V42" s="2257" t="s">
        <v>532</v>
      </c>
      <c r="W42" s="2258"/>
      <c r="X42" s="2257" t="s">
        <v>533</v>
      </c>
      <c r="Y42" s="2258"/>
      <c r="Z42" s="2359" t="s">
        <v>534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532</v>
      </c>
      <c r="AU42" s="2258"/>
      <c r="AV42" s="2257" t="s">
        <v>533</v>
      </c>
      <c r="AW42" s="2258"/>
      <c r="AX42" s="2359" t="s">
        <v>534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138</v>
      </c>
      <c r="C44" s="1435" t="s">
        <v>139</v>
      </c>
      <c r="D44" s="1435" t="s">
        <v>140</v>
      </c>
      <c r="E44" s="1429" t="s">
        <v>453</v>
      </c>
      <c r="F44" s="1429" t="s">
        <v>454</v>
      </c>
      <c r="G44" s="1429" t="s">
        <v>455</v>
      </c>
      <c r="H44" s="1429" t="s">
        <v>456</v>
      </c>
      <c r="I44" s="1429" t="s">
        <v>457</v>
      </c>
      <c r="J44" s="1429" t="s">
        <v>458</v>
      </c>
      <c r="K44" s="1429" t="s">
        <v>459</v>
      </c>
      <c r="L44" s="1429" t="s">
        <v>434</v>
      </c>
      <c r="Q44" s="356"/>
      <c r="R44" s="441"/>
      <c r="S44" s="2338"/>
      <c r="T44" s="2274"/>
      <c r="U44" s="367"/>
      <c r="V44" s="1544" t="s">
        <v>498</v>
      </c>
      <c r="W44" s="1544" t="s">
        <v>499</v>
      </c>
      <c r="X44" s="1544" t="s">
        <v>498</v>
      </c>
      <c r="Y44" s="1544" t="s">
        <v>499</v>
      </c>
      <c r="Z44" s="1554" t="s">
        <v>462</v>
      </c>
      <c r="AA44" s="2335" t="s">
        <v>463</v>
      </c>
      <c r="AB44" s="2336"/>
      <c r="AC44" s="2344"/>
      <c r="AD44" s="2398"/>
      <c r="AE44" s="2399"/>
      <c r="AF44" s="2399"/>
      <c r="AG44" s="2400"/>
      <c r="AH44" s="2398"/>
      <c r="AI44" s="2399"/>
      <c r="AJ44" s="2399"/>
      <c r="AK44" s="2400"/>
      <c r="AL44" s="2398"/>
      <c r="AM44" s="2399"/>
      <c r="AN44" s="2399"/>
      <c r="AO44" s="2400"/>
      <c r="AP44" s="2398"/>
      <c r="AQ44" s="2399"/>
      <c r="AR44" s="2399"/>
      <c r="AS44" s="2400"/>
      <c r="AT44" s="1544" t="s">
        <v>498</v>
      </c>
      <c r="AU44" s="1544" t="s">
        <v>499</v>
      </c>
      <c r="AV44" s="1544" t="s">
        <v>498</v>
      </c>
      <c r="AW44" s="1544" t="s">
        <v>499</v>
      </c>
      <c r="AX44" s="1554" t="s">
        <v>462</v>
      </c>
      <c r="AY44" s="2335" t="s">
        <v>463</v>
      </c>
      <c r="AZ44" s="2336"/>
      <c r="BA44" s="2344"/>
      <c r="BB44" s="2347"/>
      <c r="BC44" s="2192"/>
      <c r="BI44" s="1220">
        <v>14</v>
      </c>
    </row>
    <row s="4094"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112</v>
      </c>
      <c r="T45" s="1320" t="s">
        <v>113</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280</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126</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280</v>
      </c>
      <c r="B47" s="1428" t="s">
        <v>281</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416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417</v>
      </c>
      <c r="BE47" s="565"/>
      <c r="BF47" s="565" t="str">
        <f>IF(T47="","",T47)</f>
        <v>Территория действия тарифа</v>
      </c>
      <c r="BG47" s="565"/>
      <c r="BH47" s="565"/>
      <c r="BI47" s="1220">
        <v>21</v>
      </c>
    </row>
    <row customHeight="1" ht="35.699999999999996">
      <c r="A48" s="1428" t="s">
        <v>280</v>
      </c>
      <c r="B48" s="1428" t="s">
        <v>281</v>
      </c>
      <c r="C48" s="1428" t="s">
        <v>282</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550</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551</v>
      </c>
      <c r="BE48" s="565"/>
      <c r="BF48" s="565" t="str">
        <f>IF(T48="","",T48)</f>
        <v>Наименование централизованной системы горячего водоснабжения</v>
      </c>
      <c r="BG48" s="565"/>
      <c r="BH48" s="565"/>
      <c r="BI48" s="1220">
        <v>34</v>
      </c>
    </row>
    <row s="4423" customFormat="1" customHeight="1" ht="0">
      <c r="A49" s="1408" t="s">
        <v>280</v>
      </c>
      <c r="B49" s="1408" t="s">
        <v>281</v>
      </c>
      <c r="C49" s="1408" t="s">
        <v>282</v>
      </c>
      <c r="D49" s="1408" t="s">
        <v>564</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421</v>
      </c>
      <c r="BE49" s="565"/>
      <c r="BF49" s="565" t="str">
        <f>IF(T49="","",T49)</f>
        <v/>
      </c>
      <c r="BG49" s="565"/>
      <c r="BH49" s="565"/>
      <c r="BI49" s="576">
        <v>0</v>
      </c>
    </row>
    <row s="4423" customFormat="1" customHeight="1" ht="0">
      <c r="A50" s="1408" t="s">
        <v>280</v>
      </c>
      <c r="B50" s="1408" t="s">
        <v>281</v>
      </c>
      <c r="C50" s="1408" t="s">
        <v>282</v>
      </c>
      <c r="D50" s="1408" t="s">
        <v>564</v>
      </c>
      <c r="E50" s="2324"/>
      <c r="F50" s="2324"/>
      <c r="G50" s="2324"/>
      <c r="H50" s="2324"/>
      <c r="I50" s="2321" t="str">
        <f>S49&amp;".1"</f>
        <v>.1</v>
      </c>
      <c r="J50" s="1408"/>
      <c r="K50" s="1408"/>
      <c r="L50" s="1411" t="s">
        <v>422</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423" customFormat="1" customHeight="1" ht="0">
      <c r="A51" s="1408" t="s">
        <v>280</v>
      </c>
      <c r="B51" s="1408" t="s">
        <v>281</v>
      </c>
      <c r="C51" s="1408" t="s">
        <v>282</v>
      </c>
      <c r="D51" s="1408" t="s">
        <v>564</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280</v>
      </c>
      <c r="B52" s="1428" t="s">
        <v>281</v>
      </c>
      <c r="C52" s="1428" t="s">
        <v>282</v>
      </c>
      <c r="D52" s="1428" t="s">
        <v>564</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64</v>
      </c>
      <c r="AB52" s="1799"/>
      <c r="AC52" s="1534" t="s">
        <v>64</v>
      </c>
      <c r="AD52" s="2250" t="s">
        <v>64</v>
      </c>
      <c r="AE52" s="2391"/>
      <c r="AF52" s="2270">
        <v>1</v>
      </c>
      <c r="AG52" s="2428"/>
      <c r="AH52" s="2172" t="s">
        <v>64</v>
      </c>
      <c r="AI52" s="2391"/>
      <c r="AJ52" s="2270">
        <v>1</v>
      </c>
      <c r="AK52" s="2392" t="s">
        <v>28</v>
      </c>
      <c r="AL52" s="2172" t="s">
        <v>64</v>
      </c>
      <c r="AM52" s="2257"/>
      <c r="AN52" s="2270">
        <v>1</v>
      </c>
      <c r="AO52" s="2422"/>
      <c r="AP52" s="2423" t="s">
        <v>64</v>
      </c>
      <c r="AQ52" s="376"/>
      <c r="AR52" s="1551">
        <v>1</v>
      </c>
      <c r="AS52" s="1557" t="s">
        <v>28</v>
      </c>
      <c r="AT52" s="816"/>
      <c r="AU52" s="1322"/>
      <c r="AV52" s="816"/>
      <c r="AW52" s="1322"/>
      <c r="AX52" s="1799"/>
      <c r="AY52" s="1534" t="s">
        <v>64</v>
      </c>
      <c r="AZ52" s="1799"/>
      <c r="BA52" s="1534" t="s">
        <v>64</v>
      </c>
      <c r="BB52" s="1413"/>
      <c r="BC52" s="2318" t="s">
        <v>521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522</v>
      </c>
      <c r="AT53" s="1458"/>
      <c r="AU53" s="1561"/>
      <c r="AV53" s="1458"/>
      <c r="AW53" s="1561"/>
      <c r="AX53" s="1458"/>
      <c r="AY53" s="1458"/>
      <c r="AZ53" s="1458"/>
      <c r="BA53" s="1458"/>
      <c r="BB53" s="1462"/>
      <c r="BC53" s="2319"/>
      <c r="BE53" s="565"/>
      <c r="BF53" s="565"/>
      <c r="BG53" s="565"/>
      <c r="BH53" s="565"/>
      <c r="BI53" s="1220">
        <v>11</v>
      </c>
    </row>
    <row customHeight="1" ht="11.549999999999999">
      <c r="A54" s="1428" t="s">
        <v>280</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280</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280</v>
      </c>
      <c r="B56" s="1428" t="s">
        <v>281</v>
      </c>
      <c r="C56" s="1428" t="s">
        <v>282</v>
      </c>
      <c r="D56" s="1428" t="s">
        <v>564</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525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280</v>
      </c>
      <c r="B57" s="1428" t="s">
        <v>281</v>
      </c>
      <c r="C57" s="1428" t="s">
        <v>282</v>
      </c>
      <c r="D57" s="1428" t="s">
        <v>564</v>
      </c>
      <c r="E57" s="2324"/>
      <c r="F57" s="2324"/>
      <c r="G57" s="2324"/>
      <c r="H57" s="2324"/>
      <c r="I57" s="2351"/>
      <c r="J57" s="2321"/>
      <c r="K57" s="1428"/>
      <c r="L57" s="1429"/>
      <c r="P57" s="2322"/>
      <c r="Q57" s="2322"/>
      <c r="R57" s="421"/>
      <c r="S57" s="1343"/>
      <c r="T57" s="352" t="s">
        <v>488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423" customFormat="1" customHeight="1" ht="0">
      <c r="A58" s="1408" t="s">
        <v>280</v>
      </c>
      <c r="B58" s="1408" t="s">
        <v>281</v>
      </c>
      <c r="C58" s="1408" t="s">
        <v>282</v>
      </c>
      <c r="D58" s="1408" t="s">
        <v>564</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423" customFormat="1" customHeight="1" ht="0">
      <c r="A59" s="1408" t="s">
        <v>280</v>
      </c>
      <c r="B59" s="1408" t="s">
        <v>281</v>
      </c>
      <c r="C59" s="1408" t="s">
        <v>282</v>
      </c>
      <c r="D59" s="1408" t="s">
        <v>564</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423" customFormat="1" customHeight="1" ht="0">
      <c r="A60" s="1408" t="s">
        <v>280</v>
      </c>
      <c r="B60" s="1408" t="s">
        <v>281</v>
      </c>
      <c r="C60" s="1408" t="s">
        <v>282</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423" customFormat="1" customHeight="1" ht="0">
      <c r="A61" s="1408" t="s">
        <v>280</v>
      </c>
      <c r="B61" s="1408" t="s">
        <v>281</v>
      </c>
      <c r="C61" s="1379"/>
      <c r="D61" s="1379"/>
      <c r="E61" s="2324"/>
      <c r="F61" s="2323"/>
      <c r="G61" s="1379"/>
      <c r="H61" s="1379"/>
      <c r="I61" s="1379"/>
      <c r="J61" s="1379"/>
      <c r="K61" s="1379"/>
      <c r="L61" s="1559"/>
      <c r="M61" s="1386"/>
      <c r="N61" s="1386"/>
      <c r="P61" s="1381"/>
      <c r="Q61" s="1382"/>
      <c r="R61" s="1381"/>
      <c r="S61" s="1387"/>
      <c r="T61" s="1390" t="s">
        <v>166</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423" customFormat="1" customHeight="1" ht="0">
      <c r="A62" s="1408" t="s">
        <v>280</v>
      </c>
      <c r="B62" s="1408"/>
      <c r="C62" s="1408"/>
      <c r="D62" s="1408"/>
      <c r="E62" s="2323"/>
      <c r="F62" s="1408"/>
      <c r="G62" s="1408"/>
      <c r="H62" s="1408"/>
      <c r="I62" s="1408"/>
      <c r="J62" s="1408"/>
      <c r="K62" s="1408"/>
      <c r="L62" s="1411"/>
      <c r="M62" s="1386"/>
      <c r="N62" s="1386"/>
      <c r="O62" s="583"/>
      <c r="P62" s="445"/>
      <c r="Q62" s="1409"/>
      <c r="R62" s="445"/>
      <c r="S62" s="1387"/>
      <c r="T62" s="1390" t="s">
        <v>167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423"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168</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85</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6A1F2-2F13-0CCF-24D2-C914BFB33B4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4298" width="10.7109375" hidden="1" customWidth="1"/>
    <col min="2" max="2" style="4903" width="16.8515625" hidden="1" customWidth="1"/>
    <col min="3" max="3" style="4423" width="5.57421875" hidden="1" customWidth="1"/>
    <col min="4" max="4" style="4921" width="3.00390625" customWidth="1"/>
    <col min="5" max="5" style="4921" width="7.00390625" customWidth="1"/>
    <col min="6" max="6" style="4921" width="54.00390625" customWidth="1"/>
    <col min="7" max="7" style="4921" width="10.00390625" customWidth="1"/>
    <col min="8" max="8" style="4921" width="40.7109375" hidden="1" customWidth="1"/>
    <col min="9" max="9" style="4921" width="40.7109375" customWidth="1"/>
    <col min="10" max="10" style="4921" width="102.00390625" customWidth="1"/>
    <col min="11" max="11" style="4903" width="9.00390625" customWidth="1"/>
    <col min="12" max="12" style="4423" width="5.00390625" customWidth="1"/>
    <col min="13" max="13" style="4423" width="3.00390625" customWidth="1"/>
    <col min="14" max="17" style="4903" width="3.00390625" customWidth="1"/>
    <col min="18" max="18" style="4423" width="10.00390625" customWidth="1"/>
    <col min="19" max="19" style="4903" width="34.00390625" customWidth="1"/>
    <col min="20" max="20" style="4903" width="9.00390625" customWidth="1"/>
    <col min="21" max="21" style="4368" width="8.00390625" customWidth="1"/>
    <col min="22" max="26" style="4903" width="8.00390625" customWidth="1"/>
    <col min="27" max="31" style="5200" width="8.00390625" customWidth="1"/>
    <col min="32" max="32" style="4921" width="9.140625" hidden="1"/>
  </cols>
  <sheetData>
    <row customHeight="1" ht="22.5" hidden="1">
      <c r="AF1" s="1696" t="s">
        <v>14</v>
      </c>
    </row>
    <row customHeight="1" ht="23.25" hidden="1">
      <c r="B2" s="2164"/>
      <c r="C2" s="1232" t="s">
        <v>565</v>
      </c>
      <c r="D2" s="1703"/>
      <c r="E2" s="611">
        <f>B2</f>
        <v>0</v>
      </c>
      <c r="F2" s="612"/>
      <c r="G2" s="1711" t="s">
        <v>566</v>
      </c>
      <c r="H2" s="1711" t="s">
        <v>566</v>
      </c>
      <c r="I2" s="1711" t="s">
        <v>566</v>
      </c>
      <c r="J2" s="354" t="s">
        <v>567</v>
      </c>
      <c r="K2" s="608"/>
      <c r="AF2" s="1696">
        <v>0</v>
      </c>
    </row>
    <row s="4423" customFormat="1" customHeight="1" ht="0.75" hidden="1">
      <c r="B3" s="2164"/>
      <c r="C3" s="1232"/>
      <c r="D3" s="613"/>
      <c r="E3" s="614"/>
      <c r="F3" s="615" t="s">
        <v>568</v>
      </c>
      <c r="G3" s="616"/>
      <c r="H3" s="616">
        <f>H4*H5+H7</f>
        <v>0</v>
      </c>
      <c r="I3" s="616">
        <f>I4*I5+I6</f>
        <v>0</v>
      </c>
      <c r="J3" s="617"/>
      <c r="AF3" s="1701">
        <v>0</v>
      </c>
    </row>
    <row customHeight="1" ht="23.25" hidden="1">
      <c r="B4" s="2164"/>
      <c r="C4" s="1232"/>
      <c r="D4" s="1703"/>
      <c r="E4" s="611" t="str">
        <f>B2&amp;".1"</f>
        <v>.1</v>
      </c>
      <c r="F4" s="618" t="s">
        <v>569</v>
      </c>
      <c r="G4" s="619"/>
      <c r="H4" s="606"/>
      <c r="I4" s="606"/>
      <c r="J4" s="354" t="s">
        <v>570</v>
      </c>
      <c r="K4" s="608"/>
      <c r="AF4" s="1696">
        <v>0</v>
      </c>
    </row>
    <row customHeight="1" ht="18.75" hidden="1">
      <c r="B5" s="2164"/>
      <c r="C5" s="1232"/>
      <c r="D5" s="1703"/>
      <c r="E5" s="611" t="str">
        <f>B2&amp;".2"</f>
        <v>.2</v>
      </c>
      <c r="F5" s="618" t="s">
        <v>571</v>
      </c>
      <c r="G5" s="1711" t="s">
        <v>572</v>
      </c>
      <c r="H5" s="606"/>
      <c r="I5" s="606"/>
      <c r="J5" s="354"/>
      <c r="K5" s="608"/>
      <c r="AF5" s="1696">
        <v>0</v>
      </c>
    </row>
    <row customHeight="1" ht="18.75" hidden="1">
      <c r="B6" s="2164"/>
      <c r="C6" s="1232"/>
      <c r="D6" s="1703"/>
      <c r="E6" s="611" t="str">
        <f>B2&amp;".3"</f>
        <v>.3</v>
      </c>
      <c r="F6" s="618" t="s">
        <v>573</v>
      </c>
      <c r="G6" s="1711" t="s">
        <v>572</v>
      </c>
      <c r="H6" s="606"/>
      <c r="I6" s="606"/>
      <c r="J6" s="354"/>
      <c r="K6" s="608"/>
      <c r="AF6" s="1696">
        <v>0</v>
      </c>
    </row>
    <row customHeight="1" ht="18.75" hidden="1">
      <c r="B7" s="2164"/>
      <c r="C7" s="1232"/>
      <c r="D7" s="1703"/>
      <c r="E7" s="611" t="str">
        <f>B2&amp;".4"</f>
        <v>.4</v>
      </c>
      <c r="F7" s="618" t="s">
        <v>574</v>
      </c>
      <c r="G7" s="1711" t="s">
        <v>566</v>
      </c>
      <c r="H7" s="620"/>
      <c r="I7" s="620"/>
      <c r="J7" s="354"/>
      <c r="K7" s="608"/>
      <c r="AF7" s="1696">
        <v>0</v>
      </c>
    </row>
    <row s="4903" customFormat="1" customHeight="1" ht="11.25" hidden="1">
      <c r="A8" s="1052"/>
      <c r="C8" s="1701"/>
      <c r="D8" s="602"/>
      <c r="H8" s="1225">
        <v>4</v>
      </c>
      <c r="I8" s="1225">
        <v>4</v>
      </c>
      <c r="L8" s="1701"/>
      <c r="M8" s="1701"/>
      <c r="R8" s="1701"/>
      <c r="AF8" s="1225">
        <v>0</v>
      </c>
    </row>
    <row s="4903" customFormat="1" customHeight="1" ht="22.5" hidden="1">
      <c r="A9" s="1052"/>
      <c r="C9" s="1701"/>
      <c r="D9" s="603"/>
      <c r="E9" s="1713"/>
      <c r="F9" s="605"/>
      <c r="G9" s="1711" t="s">
        <v>572</v>
      </c>
      <c r="H9" s="606"/>
      <c r="I9" s="606"/>
      <c r="J9" s="607" t="s">
        <v>575</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576</v>
      </c>
      <c r="H11" s="606"/>
      <c r="I11" s="606"/>
      <c r="J11" s="354" t="s">
        <v>577</v>
      </c>
      <c r="K11" s="608"/>
      <c r="AF11" s="1696">
        <v>0</v>
      </c>
    </row>
    <row customHeight="1" ht="11.25" hidden="1">
      <c r="AF12" s="1696">
        <v>0</v>
      </c>
    </row>
    <row customHeight="1" ht="22.5" hidden="1">
      <c r="D13" s="1703"/>
      <c r="E13" s="611"/>
      <c r="F13" s="605"/>
      <c r="G13" s="1034" t="s">
        <v>578</v>
      </c>
      <c r="H13" s="610"/>
      <c r="I13" s="610"/>
      <c r="J13" s="810" t="s">
        <v>579</v>
      </c>
      <c r="K13" s="608"/>
      <c r="AF13" s="1696">
        <v>0</v>
      </c>
    </row>
    <row customHeight="1" ht="11.25" hidden="1">
      <c r="AF14" s="1696">
        <v>0</v>
      </c>
    </row>
    <row customHeight="1" ht="22.5" hidden="1">
      <c r="D15" s="1703"/>
      <c r="E15" s="611"/>
      <c r="F15" s="605"/>
      <c r="G15" s="1711" t="s">
        <v>580</v>
      </c>
      <c r="H15" s="610"/>
      <c r="I15" s="610"/>
      <c r="J15" s="354" t="s">
        <v>581</v>
      </c>
      <c r="K15" s="608"/>
      <c r="AF15" s="1696">
        <v>0</v>
      </c>
    </row>
    <row customHeight="1" ht="11.25" hidden="1">
      <c r="AF16" s="1696">
        <v>0</v>
      </c>
    </row>
    <row customHeight="1" ht="22.5" hidden="1">
      <c r="D17" s="1703"/>
      <c r="E17" s="611"/>
      <c r="F17" s="605"/>
      <c r="G17" s="1711" t="s">
        <v>582</v>
      </c>
      <c r="H17" s="610"/>
      <c r="I17" s="610"/>
      <c r="J17" s="354" t="s">
        <v>583</v>
      </c>
      <c r="K17" s="608"/>
      <c r="AF17" s="1696">
        <v>0</v>
      </c>
    </row>
    <row customHeight="1" ht="11.25" hidden="1">
      <c r="AF18" s="1696">
        <v>0</v>
      </c>
    </row>
    <row s="5200"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621"/>
      <c r="AF21" s="1696">
        <v>24</v>
      </c>
    </row>
    <row customHeight="1" ht="25.2">
      <c r="E22" s="2314" t="str">
        <f>IF(org=0,"Не определено",org)</f>
        <v>Филиал ПАО "ОГК-2"-Ставропольская ГРЭС</v>
      </c>
      <c r="F22" s="2314"/>
      <c r="G22" s="2314"/>
      <c r="H22" s="2314"/>
      <c r="I22" s="2314"/>
      <c r="AF22" s="1696">
        <v>24</v>
      </c>
    </row>
    <row customHeight="1" ht="11.549999999999999">
      <c r="E23" s="1200"/>
      <c r="F23" s="1200"/>
      <c r="G23" s="1200"/>
      <c r="H23" s="1200"/>
      <c r="I23" s="1200"/>
      <c r="AF23" s="1696">
        <v>11</v>
      </c>
    </row>
    <row s="4423" customFormat="1" customHeight="1" ht="1.05">
      <c r="A24" s="1232"/>
      <c r="D24" s="1707"/>
      <c r="H24" s="954"/>
      <c r="I24" s="954" t="s">
        <v>120</v>
      </c>
      <c r="AF24" s="1701">
        <v>1</v>
      </c>
    </row>
    <row customHeight="1" ht="11.549999999999999">
      <c r="E25" s="776"/>
      <c r="F25" s="2432" t="s">
        <v>108</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584</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585</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319</v>
      </c>
      <c r="F28" s="2435"/>
      <c r="G28" s="2435"/>
      <c r="H28" s="1710"/>
      <c r="I28" s="1710"/>
      <c r="J28" s="2192"/>
      <c r="AF28" s="1696">
        <v>11</v>
      </c>
    </row>
    <row customHeight="1" ht="24">
      <c r="E29" s="1711" t="s">
        <v>91</v>
      </c>
      <c r="F29" s="1718" t="s">
        <v>321</v>
      </c>
      <c r="G29" s="1718" t="s">
        <v>586</v>
      </c>
      <c r="H29" s="1718" t="s">
        <v>322</v>
      </c>
      <c r="I29" s="1718" t="s">
        <v>322</v>
      </c>
      <c r="J29" s="2192"/>
      <c r="AF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572</v>
      </c>
      <c r="H30" s="622"/>
      <c r="I30" s="622"/>
      <c r="J30" s="354" t="str">
        <f>FHD_NOTE_P_1</f>
        <v>Указывается выручка от регулируемого вида деятельности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572</v>
      </c>
      <c r="H31" s="623">
        <f>SUMIF($K33:$K71,$K31,H33:H71)</f>
        <v>0</v>
      </c>
      <c r="I31" s="623">
        <f>SUMIF($K33:$K71,$K31,I33:I71)</f>
        <v>0</v>
      </c>
      <c r="J31" s="354" t="str">
        <f>FHD_NOTE_P_2</f>
        <v>Указывается суммарная себестоимость производимых товаров.</v>
      </c>
      <c r="K31" s="1701" t="s">
        <v>587</v>
      </c>
      <c r="AF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572</v>
      </c>
      <c r="H32" s="622"/>
      <c r="I32" s="622"/>
      <c r="J32" s="354" t="str">
        <f>FHD_NOTE_P_3</f>
        <v/>
      </c>
      <c r="K32" s="1701" t="str">
        <f>IF((LEN(E32)-LEN(SUBSTITUTE(E32,".","")))/LEN(".")=1,"p","")</f>
        <v>p</v>
      </c>
      <c r="AF32" s="1696">
        <v>11</v>
      </c>
    </row>
    <row customHeight="1" ht="11.25">
      <c r="A33" s="2436" t="s">
        <v>588</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572</v>
      </c>
      <c r="H33" s="623">
        <f>SUMIF($F34:$F40,$F3,H34:H40)</f>
        <v>0</v>
      </c>
      <c r="I33" s="623">
        <f>SUMIF($F34:$F40,$F3,I34:I40)</f>
        <v>0</v>
      </c>
      <c r="J33" s="354" t="str">
        <f>FHD_NOTE_P_4</f>
        <v>Указываются суммарные расходы на приобретение топлива всех видов.</v>
      </c>
      <c r="K33" s="1701" t="str">
        <f>IF((LEN(E33)-LEN(SUBSTITUTE(E33,".","")))/LEN(".")=1,"p","")</f>
        <v>p</v>
      </c>
      <c r="AF33" s="1696">
        <v>0</v>
      </c>
    </row>
    <row s="4094" customFormat="1" customHeight="1" ht="0.75">
      <c r="A34" s="2436"/>
      <c r="B34" s="2437" t="str">
        <f>E33&amp;".0"</f>
        <v>2.2.0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4094" customFormat="1" customHeight="1" ht="0.75">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4094" customFormat="1" customHeight="1" ht="0.75">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4094" customFormat="1" customHeight="1" ht="0.75">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4094" customFormat="1" customHeight="1" ht="0.75">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4094" customFormat="1" customHeight="1" ht="0.75">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903" customFormat="1" customHeight="1" ht="15">
      <c r="A40" s="2436"/>
      <c r="C40" s="1701"/>
      <c r="D40" s="1698"/>
      <c r="E40" s="635"/>
      <c r="F40" s="636" t="s">
        <v>589</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590</v>
      </c>
      <c r="D41" s="1703"/>
      <c r="E41" s="611" t="str">
        <f>FHD_NUM_P_5</f>
        <v/>
      </c>
      <c r="F41" s="1589" t="str">
        <f>FHD_P_5</f>
        <v/>
      </c>
      <c r="G41" s="1943" t="s">
        <v>572</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572</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572</v>
      </c>
      <c r="H43" s="622"/>
      <c r="I43" s="622"/>
      <c r="J43" s="354" t="str">
        <f>FHD_NOTE_P_7</f>
        <v/>
      </c>
      <c r="K43" s="1701" t="str">
        <f>IF((LEN(E43)-LEN(SUBSTITUTE(E43,".","")))/LEN(".")=1,"p","")</f>
        <v/>
      </c>
      <c r="AF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572</v>
      </c>
      <c r="H44" s="622"/>
      <c r="I44" s="622"/>
      <c r="J44" s="354" t="str">
        <f>FHD_NOTE_P_8</f>
        <v/>
      </c>
      <c r="K44" s="1701" t="str">
        <f>IF((LEN(E44)-LEN(SUBSTITUTE(E44,".","")))/LEN(".")=1,"p","")</f>
        <v>p</v>
      </c>
      <c r="AF44" s="1696">
        <v>11</v>
      </c>
    </row>
    <row customHeight="1" ht="11.549999999999999">
      <c r="D45" s="1703"/>
      <c r="E45" s="611" t="str">
        <f>FHD_NUM_P_9</f>
        <v>2.3.1</v>
      </c>
      <c r="F45" s="1715" t="str">
        <f>FHD_P_9</f>
        <v>Средневзвешенная стоимость 1 кВт.ч (с учетом мощности)</v>
      </c>
      <c r="G45" s="1943" t="s">
        <v>591</v>
      </c>
      <c r="H45" s="622"/>
      <c r="I45" s="622"/>
      <c r="J45" s="354" t="str">
        <f>FHD_NOTE_P_9</f>
        <v/>
      </c>
      <c r="K45" s="1701" t="str">
        <f>IF((LEN(E45)-LEN(SUBSTITUTE(E45,".","")))/LEN(".")=1,"p","")</f>
        <v/>
      </c>
      <c r="AF45" s="1696">
        <v>11</v>
      </c>
    </row>
    <row s="4903" customFormat="1" customHeight="1" ht="11.549999999999999">
      <c r="A46" s="1052"/>
      <c r="C46" s="1701"/>
      <c r="D46" s="639"/>
      <c r="E46" s="611" t="str">
        <f>FHD_NUM_P_10</f>
        <v>2.3.2</v>
      </c>
      <c r="F46" s="1715" t="str">
        <f>FHD_P_10</f>
        <v>Объём приобретения электрической энергии</v>
      </c>
      <c r="G46" s="1943" t="s">
        <v>592</v>
      </c>
      <c r="H46" s="622"/>
      <c r="I46" s="622"/>
      <c r="J46" s="354" t="str">
        <f>FHD_NOTE_P_10</f>
        <v/>
      </c>
      <c r="K46" s="1701" t="str">
        <f>IF((LEN(E46)-LEN(SUBSTITUTE(E46,".","")))/LEN(".")=1,"p","")</f>
        <v/>
      </c>
      <c r="L46" s="1701"/>
      <c r="M46" s="1701"/>
      <c r="R46" s="1701"/>
      <c r="U46" s="609"/>
      <c r="AA46" s="1697"/>
      <c r="AB46" s="1697"/>
      <c r="AC46" s="1697"/>
      <c r="AD46" s="1697"/>
      <c r="AE46" s="1697"/>
      <c r="AF46" s="1225">
        <v>11</v>
      </c>
    </row>
    <row s="4903" customFormat="1" customHeight="1" ht="11.25">
      <c r="A47" s="1054" t="s">
        <v>593</v>
      </c>
      <c r="C47" s="1701"/>
      <c r="D47" s="640"/>
      <c r="E47" s="611" t="str">
        <f>FHD_NUM_P_11</f>
        <v>2.4</v>
      </c>
      <c r="F47" s="1589" t="str">
        <f>FHD_P_11</f>
        <v>Расходы на приобретение холодной воды, используемой в технологическом процессе</v>
      </c>
      <c r="G47" s="1943" t="s">
        <v>572</v>
      </c>
      <c r="H47" s="622"/>
      <c r="I47" s="622"/>
      <c r="J47" s="354" t="str">
        <f>FHD_NOTE_P_11</f>
        <v/>
      </c>
      <c r="K47" s="1701" t="str">
        <f>IF((LEN(E47)-LEN(SUBSTITUTE(E47,".","")))/LEN(".")=1,"p","")</f>
        <v>p</v>
      </c>
      <c r="L47" s="1701"/>
      <c r="M47" s="1701"/>
      <c r="R47" s="1701"/>
      <c r="U47" s="609"/>
      <c r="AA47" s="1697"/>
      <c r="AB47" s="1697"/>
      <c r="AC47" s="1697"/>
      <c r="AD47" s="1697"/>
      <c r="AE47" s="1697"/>
      <c r="AF47" s="1225">
        <v>0</v>
      </c>
    </row>
    <row s="4903" customFormat="1" customHeight="1" ht="18.75">
      <c r="A48" s="1054" t="s">
        <v>594</v>
      </c>
      <c r="C48" s="1701"/>
      <c r="D48" s="1703"/>
      <c r="E48" s="611" t="str">
        <f>FHD_NUM_P_12</f>
        <v>2.5</v>
      </c>
      <c r="F48" s="1589" t="str">
        <f>FHD_P_12</f>
        <v>Расходы на  химические реагенты, используемые в технологическом процессе</v>
      </c>
      <c r="G48" s="1943" t="s">
        <v>572</v>
      </c>
      <c r="H48" s="642"/>
      <c r="I48" s="642"/>
      <c r="J48" s="354" t="str">
        <f>FHD_NOTE_P_12</f>
        <v/>
      </c>
      <c r="K48" s="1701" t="str">
        <f>IF((LEN(E48)-LEN(SUBSTITUTE(E48,".","")))/LEN(".")=1,"p","")</f>
        <v>p</v>
      </c>
      <c r="L48" s="1701"/>
      <c r="M48" s="1701"/>
      <c r="R48" s="1701"/>
      <c r="U48" s="609"/>
      <c r="AA48" s="1697"/>
      <c r="AB48" s="1697"/>
      <c r="AC48" s="1697"/>
      <c r="AD48" s="1697"/>
      <c r="AE48" s="1697"/>
      <c r="AF48" s="1225">
        <v>18</v>
      </c>
    </row>
    <row s="3717"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572</v>
      </c>
      <c r="H49" s="622"/>
      <c r="I49" s="622"/>
      <c r="J49" s="354" t="str">
        <f>FHD_NOTE_P_13</f>
        <v/>
      </c>
      <c r="K49" s="1701" t="str">
        <f>IF((LEN(E49)-LEN(SUBSTITUTE(E49,".","")))/LEN(".")=1,"p","")</f>
        <v>p</v>
      </c>
      <c r="L49" s="795"/>
      <c r="M49" s="795"/>
      <c r="R49" s="795"/>
      <c r="U49" s="796"/>
      <c r="AA49" s="797"/>
      <c r="AB49" s="797"/>
      <c r="AC49" s="797"/>
      <c r="AD49" s="797"/>
      <c r="AE49" s="797"/>
      <c r="AF49" s="794">
        <v>11</v>
      </c>
    </row>
    <row s="3717"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572</v>
      </c>
      <c r="H50" s="622"/>
      <c r="I50" s="622"/>
      <c r="J50" s="354" t="str">
        <f>FHD_NOTE_P_14</f>
        <v/>
      </c>
      <c r="K50" s="1701" t="str">
        <f>IF((LEN(E50)-LEN(SUBSTITUTE(E50,".","")))/LEN(".")=1,"p","")</f>
        <v/>
      </c>
      <c r="L50" s="795"/>
      <c r="M50" s="795"/>
      <c r="R50" s="795"/>
      <c r="U50" s="796"/>
      <c r="AA50" s="797"/>
      <c r="AB50" s="797"/>
      <c r="AC50" s="797"/>
      <c r="AD50" s="797"/>
      <c r="AE50" s="797"/>
      <c r="AF50" s="794">
        <v>11</v>
      </c>
    </row>
    <row s="3717"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572</v>
      </c>
      <c r="H51" s="622"/>
      <c r="I51" s="622"/>
      <c r="J51" s="354" t="str">
        <f>FHD_NOTE_P_15</f>
        <v/>
      </c>
      <c r="K51" s="1701" t="str">
        <f>IF((LEN(E51)-LEN(SUBSTITUTE(E51,".","")))/LEN(".")=1,"p","")</f>
        <v/>
      </c>
      <c r="L51" s="795"/>
      <c r="M51" s="795"/>
      <c r="R51" s="795"/>
      <c r="U51" s="796"/>
      <c r="AA51" s="797"/>
      <c r="AB51" s="797"/>
      <c r="AC51" s="797"/>
      <c r="AD51" s="797"/>
      <c r="AE51" s="797"/>
      <c r="AF51" s="794">
        <v>11</v>
      </c>
    </row>
    <row s="4903"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572</v>
      </c>
      <c r="H52" s="622"/>
      <c r="I52" s="622"/>
      <c r="J52" s="354" t="str">
        <f>FHD_NOTE_P_16</f>
        <v/>
      </c>
      <c r="K52" s="1701" t="str">
        <f>IF((LEN(E52)-LEN(SUBSTITUTE(E52,".","")))/LEN(".")=1,"p","")</f>
        <v>p</v>
      </c>
      <c r="L52" s="1701"/>
      <c r="M52" s="1707"/>
      <c r="N52" s="602"/>
      <c r="O52" s="602"/>
      <c r="R52" s="1701"/>
      <c r="U52" s="609"/>
      <c r="AA52" s="1697"/>
      <c r="AB52" s="1697"/>
      <c r="AC52" s="1697"/>
      <c r="AD52" s="1697"/>
      <c r="AE52" s="1697"/>
      <c r="AF52" s="1225">
        <v>11</v>
      </c>
    </row>
    <row s="4903"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572</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903"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572</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903"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572</v>
      </c>
      <c r="H55" s="622"/>
      <c r="I55" s="622"/>
      <c r="J55" s="354" t="str">
        <f>FHD_NOTE_P_19</f>
        <v/>
      </c>
      <c r="K55" s="1701" t="str">
        <f>IF((LEN(E55)-LEN(SUBSTITUTE(E55,".","")))/LEN(".")=1,"p","")</f>
        <v>p</v>
      </c>
      <c r="L55" s="1701"/>
      <c r="M55" s="1701"/>
      <c r="R55" s="1701"/>
      <c r="U55" s="609"/>
      <c r="AA55" s="1697"/>
      <c r="AB55" s="1697"/>
      <c r="AC55" s="1697"/>
      <c r="AD55" s="1697"/>
      <c r="AE55" s="1697"/>
      <c r="AF55" s="1225">
        <v>11</v>
      </c>
    </row>
    <row s="4903" customFormat="1" customHeight="1" ht="11.549999999999999">
      <c r="A56" s="1052"/>
      <c r="C56" s="1701"/>
      <c r="D56" s="640"/>
      <c r="E56" s="611" t="str">
        <f>FHD_NUM_P_20</f>
        <v>2.8.1</v>
      </c>
      <c r="F56" s="1715" t="str">
        <f>FHD_P_20</f>
        <v>Расходы на амортизацию основных средств</v>
      </c>
      <c r="G56" s="1943" t="s">
        <v>572</v>
      </c>
      <c r="H56" s="622"/>
      <c r="I56" s="622"/>
      <c r="J56" s="354" t="str">
        <f>FHD_NOTE_P_20</f>
        <v/>
      </c>
      <c r="K56" s="1701" t="str">
        <f>IF((LEN(E56)-LEN(SUBSTITUTE(E56,".","")))/LEN(".")=1,"p","")</f>
        <v/>
      </c>
      <c r="L56" s="1701"/>
      <c r="M56" s="1701"/>
      <c r="R56" s="1701"/>
      <c r="U56" s="609"/>
      <c r="AA56" s="1697"/>
      <c r="AB56" s="1697"/>
      <c r="AC56" s="1697"/>
      <c r="AD56" s="1697"/>
      <c r="AE56" s="1697"/>
      <c r="AF56" s="1225">
        <v>11</v>
      </c>
    </row>
    <row s="4903" customFormat="1" customHeight="1" ht="11.549999999999999">
      <c r="A57" s="1052"/>
      <c r="C57" s="1701"/>
      <c r="D57" s="640"/>
      <c r="E57" s="611" t="str">
        <f>FHD_NUM_P_21</f>
        <v>2.8.2</v>
      </c>
      <c r="F57" s="1715" t="str">
        <f>FHD_P_21</f>
        <v>Расходы на амортизацию нематериальных активов</v>
      </c>
      <c r="G57" s="1943" t="s">
        <v>572</v>
      </c>
      <c r="H57" s="622"/>
      <c r="I57" s="622"/>
      <c r="J57" s="354" t="str">
        <f>FHD_NOTE_P_21</f>
        <v/>
      </c>
      <c r="K57" s="1701" t="str">
        <f>IF((LEN(E57)-LEN(SUBSTITUTE(E57,".","")))/LEN(".")=1,"p","")</f>
        <v/>
      </c>
      <c r="L57" s="1701"/>
      <c r="M57" s="1701"/>
      <c r="R57" s="1701"/>
      <c r="U57" s="609"/>
      <c r="AA57" s="1697"/>
      <c r="AB57" s="1697"/>
      <c r="AC57" s="1697"/>
      <c r="AD57" s="1697"/>
      <c r="AE57" s="1697"/>
      <c r="AF57" s="1225">
        <v>11</v>
      </c>
    </row>
    <row s="4903"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572</v>
      </c>
      <c r="H58" s="622"/>
      <c r="I58" s="622"/>
      <c r="J58" s="354" t="str">
        <f>FHD_NOTE_P_22</f>
        <v/>
      </c>
      <c r="K58" s="1701" t="str">
        <f>IF((LEN(E58)-LEN(SUBSTITUTE(E58,".","")))/LEN(".")=1,"p","")</f>
        <v>p</v>
      </c>
      <c r="L58" s="1701"/>
      <c r="M58" s="1701"/>
      <c r="R58" s="1701"/>
      <c r="U58" s="609"/>
      <c r="AA58" s="1697"/>
      <c r="AB58" s="1697"/>
      <c r="AC58" s="1697"/>
      <c r="AD58" s="1697"/>
      <c r="AE58" s="1697"/>
      <c r="AF58" s="1225">
        <v>11</v>
      </c>
    </row>
    <row s="4903" customFormat="1" customHeight="1" ht="11.549999999999999">
      <c r="A59" s="1052"/>
      <c r="C59" s="1701"/>
      <c r="D59" s="640"/>
      <c r="E59" s="611" t="str">
        <f>FHD_NUM_P_23</f>
        <v>2.10</v>
      </c>
      <c r="F59" s="1589" t="str">
        <f>FHD_P_23</f>
        <v>Общепроизводственные расходы, в том числе:</v>
      </c>
      <c r="G59" s="1943" t="s">
        <v>572</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903" customFormat="1" customHeight="1" ht="11.549999999999999">
      <c r="A60" s="1052"/>
      <c r="C60" s="1701"/>
      <c r="D60" s="640"/>
      <c r="E60" s="611" t="str">
        <f>FHD_NUM_P_24</f>
        <v>2.10.1</v>
      </c>
      <c r="F60" s="1715" t="str">
        <f>FHD_P_24</f>
        <v>Расходы на текущий ремонт</v>
      </c>
      <c r="G60" s="1943" t="s">
        <v>572</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903" customFormat="1" customHeight="1" ht="11.549999999999999">
      <c r="A61" s="1052"/>
      <c r="C61" s="1701"/>
      <c r="D61" s="640"/>
      <c r="E61" s="611" t="str">
        <f>FHD_NUM_P_25</f>
        <v>2.10.2</v>
      </c>
      <c r="F61" s="1715" t="str">
        <f>FHD_P_25</f>
        <v>Расходы на капитальный ремонт</v>
      </c>
      <c r="G61" s="1943" t="s">
        <v>572</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903" customFormat="1" customHeight="1" ht="11.549999999999999">
      <c r="A62" s="1052"/>
      <c r="C62" s="1701"/>
      <c r="D62" s="1703"/>
      <c r="E62" s="611" t="str">
        <f>FHD_NUM_P_26</f>
        <v>2.11</v>
      </c>
      <c r="F62" s="1589" t="str">
        <f>FHD_P_26</f>
        <v>Общехозяйственные расходы, в том числе:</v>
      </c>
      <c r="G62" s="1943" t="s">
        <v>572</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903" customFormat="1" customHeight="1" ht="11.549999999999999">
      <c r="A63" s="1052"/>
      <c r="C63" s="1701"/>
      <c r="D63" s="1703"/>
      <c r="E63" s="611" t="str">
        <f>FHD_NUM_P_27</f>
        <v>2.11.1</v>
      </c>
      <c r="F63" s="1715" t="str">
        <f>FHD_P_27</f>
        <v>Расходы на текущий ремонт</v>
      </c>
      <c r="G63" s="1943" t="s">
        <v>572</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903" customFormat="1" customHeight="1" ht="11.549999999999999">
      <c r="A64" s="1052"/>
      <c r="C64" s="1701"/>
      <c r="D64" s="1703"/>
      <c r="E64" s="611" t="str">
        <f>FHD_NUM_P_28</f>
        <v>2.11.2</v>
      </c>
      <c r="F64" s="1715" t="str">
        <f>FHD_P_28</f>
        <v>Расходы на капитальный ремонт</v>
      </c>
      <c r="G64" s="1943" t="s">
        <v>572</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903"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572</v>
      </c>
      <c r="H65" s="622"/>
      <c r="I65" s="622"/>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903"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325</v>
      </c>
      <c r="H66" s="1714" t="s">
        <v>595</v>
      </c>
      <c r="I66" s="1714" t="s">
        <v>595</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903" customFormat="1" customHeight="1" ht="23.25" hidden="1">
      <c r="A67" s="2436" t="s">
        <v>596</v>
      </c>
      <c r="C67" s="1701"/>
      <c r="D67" s="1703"/>
      <c r="E67" s="611" t="str">
        <f>FHD_NUM_P_31</f>
        <v/>
      </c>
      <c r="F67" s="1589" t="str">
        <f>FHD_P_31</f>
        <v/>
      </c>
      <c r="G67" s="1943" t="s">
        <v>572</v>
      </c>
      <c r="H67" s="622"/>
      <c r="I67" s="622"/>
      <c r="J67" s="354" t="str">
        <f>FHD_NOTE_P_31</f>
        <v/>
      </c>
      <c r="K67" s="1701" t="str">
        <f>IF((LEN(E67)-LEN(SUBSTITUTE(E67,".","")))/LEN(".")=1,"p","")</f>
        <v/>
      </c>
      <c r="L67" s="1701"/>
      <c r="M67" s="1701"/>
      <c r="R67" s="1701"/>
      <c r="U67" s="609"/>
      <c r="AA67" s="1697"/>
      <c r="AB67" s="1697"/>
      <c r="AC67" s="1697"/>
      <c r="AD67" s="1697"/>
      <c r="AE67" s="1697"/>
      <c r="AF67" s="1225">
        <v>22</v>
      </c>
    </row>
    <row s="4903" customFormat="1" customHeight="1" ht="47.25" hidden="1">
      <c r="A68" s="2436"/>
      <c r="C68" s="1701"/>
      <c r="D68" s="1703"/>
      <c r="E68" s="611" t="str">
        <f>FHD_NUM_P_32</f>
        <v/>
      </c>
      <c r="F68" s="1715" t="str">
        <f>FHD_P_32</f>
        <v/>
      </c>
      <c r="G68" s="1943" t="s">
        <v>325</v>
      </c>
      <c r="H68" s="1714" t="s">
        <v>595</v>
      </c>
      <c r="I68" s="1714" t="s">
        <v>595</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903"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572</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1" t="str">
        <f>IF((LEN(E69)-LEN(SUBSTITUTE(E69,".","")))/LEN(".")=1,"p","")</f>
        <v>p</v>
      </c>
      <c r="L69" s="1701"/>
      <c r="M69" s="1701"/>
      <c r="R69" s="1701"/>
      <c r="U69" s="609"/>
      <c r="AA69" s="1697"/>
      <c r="AB69" s="1697"/>
      <c r="AC69" s="1697"/>
      <c r="AD69" s="1697"/>
      <c r="AE69" s="1697"/>
      <c r="AF69" s="1225">
        <v>11</v>
      </c>
    </row>
    <row s="4423" customFormat="1" customHeight="1" ht="1.05">
      <c r="A70" s="1232"/>
      <c r="D70" s="613"/>
      <c r="E70" s="1078" t="str">
        <f>E69&amp;".0"</f>
        <v>2.13.0</v>
      </c>
      <c r="F70" s="1056"/>
      <c r="G70" s="1078"/>
      <c r="H70" s="1057"/>
      <c r="I70" s="1057"/>
      <c r="J70" s="1058"/>
      <c r="K70" s="1701" t="str">
        <f>IF((LEN(E70)-LEN(SUBSTITUTE(E70,".","")))/LEN(".")=1,"p","")</f>
        <v/>
      </c>
      <c r="AF70" s="1701">
        <v>1</v>
      </c>
    </row>
    <row s="4903" customFormat="1" customHeight="1" ht="14.699999999999998">
      <c r="A71" s="1052"/>
      <c r="C71" s="1701"/>
      <c r="D71" s="1698"/>
      <c r="E71" s="635"/>
      <c r="F71" s="636" t="s">
        <v>597</v>
      </c>
      <c r="G71" s="637"/>
      <c r="H71" s="638"/>
      <c r="I71" s="638"/>
      <c r="J71" s="366"/>
      <c r="K71" s="1701"/>
      <c r="L71" s="1701"/>
      <c r="M71" s="1701"/>
      <c r="R71" s="1701"/>
      <c r="U71" s="609"/>
      <c r="AA71" s="1697"/>
      <c r="AB71" s="1697"/>
      <c r="AC71" s="1697"/>
      <c r="AD71" s="1697"/>
      <c r="AE71" s="1697"/>
      <c r="AF71" s="1225">
        <v>14</v>
      </c>
    </row>
    <row s="4903" customFormat="1" customHeight="1" ht="18.75">
      <c r="A72" s="1054" t="s">
        <v>598</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572</v>
      </c>
      <c r="H72" s="622"/>
      <c r="I72" s="622"/>
      <c r="J72" s="354" t="str">
        <f>FHD_NOTE_P_34</f>
        <v/>
      </c>
      <c r="K72" s="608"/>
      <c r="L72" s="1701"/>
      <c r="M72" s="1701"/>
      <c r="R72" s="1701"/>
      <c r="U72" s="609"/>
      <c r="AA72" s="1697"/>
      <c r="AB72" s="1697"/>
      <c r="AC72" s="1697"/>
      <c r="AD72" s="1697"/>
      <c r="AE72" s="1697"/>
      <c r="AF72" s="1225">
        <v>0</v>
      </c>
    </row>
    <row s="4903"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572</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903"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572</v>
      </c>
      <c r="H74" s="622"/>
      <c r="I74" s="622"/>
      <c r="J74" s="354" t="str">
        <f>FHD_NOTE_P_36</f>
        <v/>
      </c>
      <c r="K74" s="608"/>
      <c r="L74" s="1701"/>
      <c r="M74" s="1701"/>
      <c r="R74" s="1701"/>
      <c r="U74" s="609"/>
      <c r="AA74" s="1697"/>
      <c r="AB74" s="1697"/>
      <c r="AC74" s="1697"/>
      <c r="AD74" s="1697"/>
      <c r="AE74" s="1697"/>
      <c r="AF74" s="1225">
        <v>19</v>
      </c>
    </row>
    <row s="4903" customFormat="1" customHeight="1" ht="19.95">
      <c r="A75" s="1052"/>
      <c r="C75" s="1701"/>
      <c r="D75" s="1703"/>
      <c r="E75" s="611" t="str">
        <f>FHD_NUM_P_37</f>
        <v>5</v>
      </c>
      <c r="F75" s="1945" t="str">
        <f>FHD_P_37</f>
        <v>Изменение стоимости основных фондов, в том числе:</v>
      </c>
      <c r="G75" s="1943" t="s">
        <v>572</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903" customFormat="1" customHeight="1" ht="19.95">
      <c r="A76" s="1052"/>
      <c r="C76" s="1701"/>
      <c r="D76" s="1703"/>
      <c r="E76" s="611" t="str">
        <f>FHD_NUM_P_38</f>
        <v>5.1</v>
      </c>
      <c r="F76" s="1589" t="str">
        <f>FHD_P_38</f>
        <v>Изменение стоимости основных фондов за счет:</v>
      </c>
      <c r="G76" s="1943" t="s">
        <v>572</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903"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572</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903"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572</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903" customFormat="1" customHeight="1" ht="19.95">
      <c r="A79" s="1052"/>
      <c r="C79" s="1701"/>
      <c r="D79" s="1703"/>
      <c r="E79" s="611" t="str">
        <f>FHD_NUM_P_41</f>
        <v>5.2</v>
      </c>
      <c r="F79" s="2140" t="str">
        <f>FHD_P_41</f>
        <v>Изменение стоимости основных фондов за счет их переоценки</v>
      </c>
      <c r="G79" s="2136" t="s">
        <v>572</v>
      </c>
      <c r="H79" s="1041"/>
      <c r="I79" s="622"/>
      <c r="J79" s="354" t="str">
        <f>FHD_NOTE_P_41</f>
        <v/>
      </c>
      <c r="K79" s="608"/>
      <c r="L79" s="1701"/>
      <c r="M79" s="1701"/>
      <c r="R79" s="1701"/>
      <c r="U79" s="609"/>
      <c r="AA79" s="1697"/>
      <c r="AB79" s="1697"/>
      <c r="AC79" s="1697"/>
      <c r="AD79" s="1697"/>
      <c r="AE79" s="1697"/>
      <c r="AF79" s="1225">
        <v>19</v>
      </c>
    </row>
    <row s="4903" customFormat="1" customHeight="1" ht="20.25" hidden="1">
      <c r="A80" s="1054" t="s">
        <v>599</v>
      </c>
      <c r="C80" s="1701"/>
      <c r="D80" s="1703"/>
      <c r="E80" s="611" t="str">
        <f>FHD_NUM_P_42</f>
        <v/>
      </c>
      <c r="F80" s="2138" t="str">
        <f>FHD_P_42</f>
        <v/>
      </c>
      <c r="G80" s="2136" t="s">
        <v>572</v>
      </c>
      <c r="H80" s="1041"/>
      <c r="I80" s="622"/>
      <c r="J80" s="354" t="str">
        <f>FHD_NOTE_P_42</f>
        <v/>
      </c>
      <c r="K80" s="608"/>
      <c r="L80" s="1701"/>
      <c r="M80" s="1701"/>
      <c r="R80" s="1701"/>
      <c r="U80" s="609"/>
      <c r="AA80" s="1697"/>
      <c r="AB80" s="1697"/>
      <c r="AC80" s="1697"/>
      <c r="AD80" s="1697"/>
      <c r="AE80" s="1697"/>
      <c r="AF80" s="1225">
        <v>19</v>
      </c>
    </row>
    <row s="4903"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325</v>
      </c>
      <c r="H81" s="1120"/>
      <c r="I81" s="883"/>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8"/>
      <c r="L81" s="1701"/>
      <c r="M81" s="1701"/>
      <c r="R81" s="1701"/>
      <c r="U81" s="609"/>
      <c r="AA81" s="1697"/>
      <c r="AB81" s="1697"/>
      <c r="AC81" s="1697"/>
      <c r="AD81" s="1697"/>
      <c r="AE81" s="1697"/>
      <c r="AF81" s="1225">
        <v>19</v>
      </c>
    </row>
    <row s="4903" customFormat="1" customHeight="1" ht="18.75" hidden="1">
      <c r="A82" s="2436" t="s">
        <v>600</v>
      </c>
      <c r="C82" s="800"/>
      <c r="D82" s="798"/>
      <c r="E82" s="611" t="str">
        <f>FHD_NUM_P_44</f>
        <v/>
      </c>
      <c r="F82" s="1945" t="str">
        <f>FHD_P_44</f>
        <v/>
      </c>
      <c r="G82" s="1946" t="s">
        <v>601</v>
      </c>
      <c r="H82" s="1042"/>
      <c r="I82" s="642"/>
      <c r="J82" s="354" t="str">
        <f>FHD_NOTE_P_44</f>
        <v/>
      </c>
      <c r="K82" s="799"/>
      <c r="L82" s="800"/>
      <c r="M82" s="800"/>
      <c r="R82" s="800"/>
      <c r="U82" s="801"/>
      <c r="AA82" s="802"/>
      <c r="AB82" s="802"/>
      <c r="AC82" s="802"/>
      <c r="AD82" s="802"/>
      <c r="AE82" s="802"/>
      <c r="AF82" s="975">
        <v>0</v>
      </c>
    </row>
    <row s="4903" customFormat="1" customHeight="1" ht="18.75" hidden="1">
      <c r="A83" s="2436"/>
      <c r="C83" s="800"/>
      <c r="D83" s="798"/>
      <c r="E83" s="611" t="str">
        <f>FHD_NUM_P_45</f>
        <v/>
      </c>
      <c r="F83" s="1945" t="str">
        <f>FHD_P_45</f>
        <v/>
      </c>
      <c r="G83" s="1946" t="s">
        <v>601</v>
      </c>
      <c r="H83" s="1042"/>
      <c r="I83" s="642"/>
      <c r="J83" s="354" t="str">
        <f>FHD_NOTE_P_45</f>
        <v/>
      </c>
      <c r="K83" s="799"/>
      <c r="L83" s="800"/>
      <c r="M83" s="800"/>
      <c r="R83" s="800"/>
      <c r="U83" s="801"/>
      <c r="AA83" s="802"/>
      <c r="AB83" s="802"/>
      <c r="AC83" s="802"/>
      <c r="AD83" s="802"/>
      <c r="AE83" s="802"/>
      <c r="AF83" s="975">
        <v>0</v>
      </c>
    </row>
    <row s="4903" customFormat="1" customHeight="1" ht="18.75" hidden="1">
      <c r="A84" s="2436"/>
      <c r="C84" s="800"/>
      <c r="D84" s="803"/>
      <c r="E84" s="611" t="str">
        <f>FHD_NUM_P_46</f>
        <v/>
      </c>
      <c r="F84" s="1945" t="str">
        <f>FHD_P_46</f>
        <v/>
      </c>
      <c r="G84" s="1946" t="s">
        <v>601</v>
      </c>
      <c r="H84" s="1042"/>
      <c r="I84" s="642"/>
      <c r="J84" s="354" t="str">
        <f>FHD_NOTE_P_46</f>
        <v/>
      </c>
      <c r="K84" s="799"/>
      <c r="L84" s="800"/>
      <c r="M84" s="800"/>
      <c r="R84" s="800"/>
      <c r="U84" s="801"/>
      <c r="AA84" s="802"/>
      <c r="AB84" s="802"/>
      <c r="AC84" s="802"/>
      <c r="AD84" s="802"/>
      <c r="AE84" s="802"/>
      <c r="AF84" s="975">
        <v>0</v>
      </c>
    </row>
    <row s="4903" customFormat="1" customHeight="1" ht="18.75" hidden="1">
      <c r="A85" s="2436"/>
      <c r="C85" s="800"/>
      <c r="D85" s="798"/>
      <c r="E85" s="611" t="str">
        <f>FHD_NUM_P_47</f>
        <v/>
      </c>
      <c r="F85" s="1945" t="str">
        <f>FHD_P_47</f>
        <v/>
      </c>
      <c r="G85" s="1946" t="s">
        <v>601</v>
      </c>
      <c r="H85" s="1042"/>
      <c r="I85" s="642"/>
      <c r="J85" s="354" t="str">
        <f>FHD_NOTE_P_47</f>
        <v/>
      </c>
      <c r="K85" s="799"/>
      <c r="L85" s="800"/>
      <c r="M85" s="800"/>
      <c r="R85" s="800"/>
      <c r="U85" s="801"/>
      <c r="AA85" s="802"/>
      <c r="AB85" s="802"/>
      <c r="AC85" s="802"/>
      <c r="AD85" s="802"/>
      <c r="AE85" s="802"/>
      <c r="AF85" s="975">
        <v>0</v>
      </c>
    </row>
    <row s="4921" customFormat="1" customHeight="1" ht="18.75" hidden="1">
      <c r="A86" s="2436"/>
      <c r="B86" s="975"/>
      <c r="C86" s="800"/>
      <c r="D86" s="798"/>
      <c r="E86" s="611" t="str">
        <f>FHD_NUM_P_48</f>
        <v/>
      </c>
      <c r="F86" s="1945" t="str">
        <f>FHD_P_48</f>
        <v/>
      </c>
      <c r="G86" s="1946" t="s">
        <v>601</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921" customFormat="1" customHeight="1" ht="18.75" hidden="1">
      <c r="A87" s="2436"/>
      <c r="B87" s="975"/>
      <c r="C87" s="800"/>
      <c r="D87" s="798"/>
      <c r="E87" s="611" t="str">
        <f>FHD_NUM_P_49</f>
        <v/>
      </c>
      <c r="F87" s="1945" t="str">
        <f>FHD_P_49</f>
        <v/>
      </c>
      <c r="G87" s="1946" t="s">
        <v>601</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921" customFormat="1" customHeight="1" ht="18.75" hidden="1">
      <c r="A88" s="2436"/>
      <c r="B88" s="975"/>
      <c r="C88" s="800"/>
      <c r="D88" s="798"/>
      <c r="E88" s="611" t="str">
        <f>FHD_NUM_P_50</f>
        <v/>
      </c>
      <c r="F88" s="1945" t="str">
        <f>FHD_P_50</f>
        <v/>
      </c>
      <c r="G88" s="1946" t="s">
        <v>601</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921" customFormat="1" customHeight="1" ht="18.75" hidden="1">
      <c r="A89" s="2436"/>
      <c r="B89" s="975"/>
      <c r="C89" s="800"/>
      <c r="D89" s="798"/>
      <c r="E89" s="611" t="str">
        <f>FHD_NUM_P_51</f>
        <v/>
      </c>
      <c r="F89" s="1945" t="str">
        <f>FHD_P_51</f>
        <v/>
      </c>
      <c r="G89" s="1946" t="s">
        <v>601</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921" customFormat="1" customHeight="1" ht="18.75" hidden="1">
      <c r="A90" s="2436"/>
      <c r="B90" s="975"/>
      <c r="C90" s="800"/>
      <c r="D90" s="798"/>
      <c r="E90" s="611" t="str">
        <f>FHD_NUM_P_52</f>
        <v/>
      </c>
      <c r="F90" s="1945" t="str">
        <f>FHD_P_52</f>
        <v/>
      </c>
      <c r="G90" s="1946" t="s">
        <v>578</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903" customFormat="1" customHeight="1" ht="18.75" hidden="1">
      <c r="A91" s="2438" t="s">
        <v>602</v>
      </c>
      <c r="C91" s="800"/>
      <c r="D91" s="798"/>
      <c r="E91" s="611" t="str">
        <f>FHD_NUM_P_53</f>
        <v/>
      </c>
      <c r="F91" s="1945" t="str">
        <f>FHD_P_53</f>
        <v/>
      </c>
      <c r="G91" s="1946" t="s">
        <v>601</v>
      </c>
      <c r="H91" s="1042"/>
      <c r="I91" s="642"/>
      <c r="J91" s="354" t="str">
        <f>FHD_NOTE_P_53</f>
        <v/>
      </c>
      <c r="K91" s="799"/>
      <c r="L91" s="800"/>
      <c r="M91" s="800"/>
      <c r="R91" s="800"/>
      <c r="U91" s="801"/>
      <c r="AA91" s="802"/>
      <c r="AB91" s="802"/>
      <c r="AC91" s="802"/>
      <c r="AD91" s="802"/>
      <c r="AE91" s="802"/>
      <c r="AF91" s="975">
        <v>0</v>
      </c>
    </row>
    <row s="4903" customFormat="1" customHeight="1" ht="18.75" hidden="1">
      <c r="A92" s="2438"/>
      <c r="C92" s="800"/>
      <c r="D92" s="798"/>
      <c r="E92" s="611" t="str">
        <f>FHD_NUM_P_54</f>
        <v/>
      </c>
      <c r="F92" s="1945" t="str">
        <f>FHD_P_54</f>
        <v/>
      </c>
      <c r="G92" s="1946" t="s">
        <v>601</v>
      </c>
      <c r="H92" s="1042"/>
      <c r="I92" s="642"/>
      <c r="J92" s="354" t="str">
        <f>FHD_NOTE_P_54</f>
        <v/>
      </c>
      <c r="K92" s="799"/>
      <c r="L92" s="800"/>
      <c r="M92" s="800"/>
      <c r="R92" s="800"/>
      <c r="U92" s="801"/>
      <c r="AA92" s="802"/>
      <c r="AB92" s="802"/>
      <c r="AC92" s="802"/>
      <c r="AD92" s="802"/>
      <c r="AE92" s="802"/>
      <c r="AF92" s="975">
        <v>0</v>
      </c>
    </row>
    <row s="4903"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903" customFormat="1" customHeight="1" ht="18.75" hidden="1">
      <c r="A94" s="2438"/>
      <c r="C94" s="800"/>
      <c r="D94" s="798"/>
      <c r="E94" s="611" t="str">
        <f>FHD_NUM_P_56</f>
        <v/>
      </c>
      <c r="F94" s="1945" t="str">
        <f>FHD_P_56</f>
        <v/>
      </c>
      <c r="G94" s="1946" t="s">
        <v>603</v>
      </c>
      <c r="H94" s="1042"/>
      <c r="I94" s="642"/>
      <c r="J94" s="354" t="str">
        <f>FHD_NOTE_P_56</f>
        <v/>
      </c>
      <c r="K94" s="799"/>
      <c r="L94" s="800"/>
      <c r="M94" s="800"/>
      <c r="R94" s="800"/>
      <c r="U94" s="801"/>
      <c r="AA94" s="802"/>
      <c r="AB94" s="802"/>
      <c r="AC94" s="802"/>
      <c r="AD94" s="802"/>
      <c r="AE94" s="802"/>
      <c r="AF94" s="975">
        <v>0</v>
      </c>
    </row>
    <row s="4921" customFormat="1" customHeight="1" ht="18.75" hidden="1">
      <c r="A95" s="2438"/>
      <c r="B95" s="975"/>
      <c r="C95" s="800"/>
      <c r="D95" s="798"/>
      <c r="E95" s="611" t="str">
        <f>FHD_NUM_P_57</f>
        <v/>
      </c>
      <c r="F95" s="1945" t="str">
        <f>FHD_P_57</f>
        <v/>
      </c>
      <c r="G95" s="1946" t="s">
        <v>578</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604</v>
      </c>
      <c r="D96" s="1703"/>
      <c r="E96" s="611" t="str">
        <f>FHD_NUM_P_58</f>
        <v/>
      </c>
      <c r="F96" s="1945" t="str">
        <f>FHD_P_58</f>
        <v/>
      </c>
      <c r="G96" s="1946" t="s">
        <v>601</v>
      </c>
      <c r="H96" s="1042"/>
      <c r="I96" s="642"/>
      <c r="J96" s="354" t="str">
        <f>FHD_NOTE_P_58</f>
        <v/>
      </c>
      <c r="K96" s="608"/>
      <c r="AF96" s="1696">
        <v>0</v>
      </c>
    </row>
    <row customHeight="1" ht="18.75" hidden="1">
      <c r="A97" s="2436"/>
      <c r="D97" s="1703"/>
      <c r="E97" s="611" t="str">
        <f>FHD_NUM_P_59</f>
        <v/>
      </c>
      <c r="F97" s="1945" t="str">
        <f>FHD_P_59</f>
        <v/>
      </c>
      <c r="G97" s="1946" t="s">
        <v>601</v>
      </c>
      <c r="H97" s="1042"/>
      <c r="I97" s="642"/>
      <c r="J97" s="354" t="str">
        <f>FHD_NOTE_P_59</f>
        <v/>
      </c>
      <c r="K97" s="608"/>
      <c r="AF97" s="1696">
        <v>0</v>
      </c>
    </row>
    <row customHeight="1" ht="18.75" hidden="1">
      <c r="A98" s="2436"/>
      <c r="D98" s="1703"/>
      <c r="E98" s="611" t="str">
        <f>FHD_NUM_P_60</f>
        <v/>
      </c>
      <c r="F98" s="1945" t="str">
        <f>FHD_P_60</f>
        <v/>
      </c>
      <c r="G98" s="1946" t="s">
        <v>601</v>
      </c>
      <c r="H98" s="1042"/>
      <c r="I98" s="642"/>
      <c r="J98" s="354" t="str">
        <f>FHD_NOTE_P_60</f>
        <v/>
      </c>
      <c r="K98" s="608"/>
      <c r="AF98" s="1696">
        <v>0</v>
      </c>
    </row>
    <row s="4903" customFormat="1" customHeight="1" ht="18.75">
      <c r="A99" s="2436" t="s">
        <v>605</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576</v>
      </c>
      <c r="H99" s="1044"/>
      <c r="I99" s="807"/>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8"/>
      <c r="L99" s="1701"/>
      <c r="M99" s="1701"/>
      <c r="R99" s="1701"/>
      <c r="U99" s="609"/>
      <c r="AA99" s="1697"/>
      <c r="AB99" s="1697"/>
      <c r="AC99" s="1697"/>
      <c r="AD99" s="1697"/>
      <c r="AE99" s="1697"/>
      <c r="AF99" s="1225">
        <v>0</v>
      </c>
    </row>
    <row s="4423" customFormat="1" customHeight="1" ht="0.75">
      <c r="A100" s="2436"/>
      <c r="D100" s="613"/>
      <c r="E100" s="1078" t="str">
        <f>E99&amp;".0"</f>
        <v>7.0</v>
      </c>
      <c r="F100" s="1059"/>
      <c r="G100" s="1060"/>
      <c r="H100" s="1057"/>
      <c r="I100" s="1057"/>
      <c r="J100" s="1061"/>
      <c r="AF100" s="1701">
        <v>0</v>
      </c>
    </row>
    <row customHeight="1" ht="15">
      <c r="A101" s="2436"/>
      <c r="D101" s="1698"/>
      <c r="E101" s="1036"/>
      <c r="F101" s="1037" t="s">
        <v>606</v>
      </c>
      <c r="G101" s="637"/>
      <c r="H101" s="638"/>
      <c r="I101" s="638"/>
      <c r="J101" s="1069" t="s">
        <v>607</v>
      </c>
      <c r="K101" s="608"/>
      <c r="AF101" s="1696">
        <v>0</v>
      </c>
    </row>
    <row s="4903"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576</v>
      </c>
      <c r="H102" s="622"/>
      <c r="I102" s="622"/>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8"/>
      <c r="L102" s="1701"/>
      <c r="M102" s="1701"/>
      <c r="R102" s="1701"/>
      <c r="U102" s="609"/>
      <c r="AA102" s="1697"/>
      <c r="AB102" s="1697"/>
      <c r="AC102" s="1697"/>
      <c r="AD102" s="1697"/>
      <c r="AE102" s="1697"/>
      <c r="AF102" s="1225">
        <v>0</v>
      </c>
    </row>
    <row s="4903"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603</v>
      </c>
      <c r="H103" s="642"/>
      <c r="I103" s="642"/>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8"/>
      <c r="L103" s="1701"/>
      <c r="M103" s="1701"/>
      <c r="R103" s="1701"/>
      <c r="U103" s="609"/>
      <c r="AA103" s="1697"/>
      <c r="AB103" s="1697"/>
      <c r="AC103" s="1697"/>
      <c r="AD103" s="1697"/>
      <c r="AE103" s="1697"/>
      <c r="AF103" s="1225">
        <v>0</v>
      </c>
    </row>
    <row s="4903" customFormat="1" customHeight="1" ht="18.75">
      <c r="A104" s="2436"/>
      <c r="C104" s="1701" t="s">
        <v>608</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603</v>
      </c>
      <c r="H104" s="610"/>
      <c r="I104" s="610"/>
      <c r="J104" s="354" t="str">
        <f>FHD_NOTE_P_64</f>
        <v>Информация указывается только едиными теплоснабжающими организациями.</v>
      </c>
      <c r="K104" s="608"/>
      <c r="L104" s="1701"/>
      <c r="M104" s="1701"/>
      <c r="R104" s="1701"/>
      <c r="U104" s="609"/>
      <c r="AA104" s="1697"/>
      <c r="AB104" s="1697"/>
      <c r="AC104" s="1697"/>
      <c r="AD104" s="1697"/>
      <c r="AE104" s="1697"/>
      <c r="AF104" s="1225">
        <v>0</v>
      </c>
    </row>
    <row s="4903"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603</v>
      </c>
      <c r="H105" s="642"/>
      <c r="I105" s="642"/>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8"/>
      <c r="L105" s="1701"/>
      <c r="M105" s="1701"/>
      <c r="R105" s="1701"/>
      <c r="U105" s="609"/>
      <c r="AA105" s="1697"/>
      <c r="AB105" s="1697"/>
      <c r="AC105" s="1697"/>
      <c r="AD105" s="1697"/>
      <c r="AE105" s="1697"/>
      <c r="AF105" s="1225">
        <v>0</v>
      </c>
    </row>
    <row s="4903" customFormat="1" customHeight="1" ht="18.75">
      <c r="A106" s="2436"/>
      <c r="C106" s="1701"/>
      <c r="D106" s="1703"/>
      <c r="E106" s="611" t="str">
        <f>FHD_NUM_P_66</f>
        <v>10.1</v>
      </c>
      <c r="F106" s="1589" t="str">
        <f>FHD_P_66</f>
        <v>По приборам учёта </v>
      </c>
      <c r="G106" s="1942" t="s">
        <v>603</v>
      </c>
      <c r="H106" s="642"/>
      <c r="I106" s="642"/>
      <c r="J106" s="354" t="str">
        <f>FHD_NOTE_P_66</f>
        <v/>
      </c>
      <c r="K106" s="608"/>
      <c r="L106" s="1701"/>
      <c r="M106" s="1701"/>
      <c r="R106" s="1701"/>
      <c r="U106" s="609"/>
      <c r="AA106" s="1697"/>
      <c r="AB106" s="1697"/>
      <c r="AC106" s="1697"/>
      <c r="AD106" s="1697"/>
      <c r="AE106" s="1697"/>
      <c r="AF106" s="1225">
        <v>0</v>
      </c>
    </row>
    <row s="4903"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603</v>
      </c>
      <c r="H107" s="642"/>
      <c r="I107" s="642"/>
      <c r="J107" s="354" t="str">
        <f>FHD_NOTE_P_67</f>
        <v/>
      </c>
      <c r="K107" s="608"/>
      <c r="L107" s="1701"/>
      <c r="M107" s="1701"/>
      <c r="R107" s="1701"/>
      <c r="U107" s="609"/>
      <c r="AA107" s="1697"/>
      <c r="AB107" s="1697"/>
      <c r="AC107" s="1697"/>
      <c r="AD107" s="1697"/>
      <c r="AE107" s="1697"/>
      <c r="AF107" s="1225">
        <v>0</v>
      </c>
    </row>
    <row s="4903" customFormat="1" customHeight="1" ht="18.75">
      <c r="A108" s="2436"/>
      <c r="C108" s="1701"/>
      <c r="D108" s="1703"/>
      <c r="E108" s="611" t="str">
        <f>FHD_NUM_P_68</f>
        <v>10.2</v>
      </c>
      <c r="F108" s="1589" t="str">
        <f>FHD_P_68</f>
        <v>Расчётным путём</v>
      </c>
      <c r="G108" s="1942" t="s">
        <v>603</v>
      </c>
      <c r="H108" s="642"/>
      <c r="I108" s="642"/>
      <c r="J108" s="354" t="str">
        <f>FHD_NOTE_P_68</f>
        <v/>
      </c>
      <c r="K108" s="608"/>
      <c r="L108" s="1701"/>
      <c r="M108" s="1701"/>
      <c r="R108" s="1701"/>
      <c r="U108" s="609"/>
      <c r="AA108" s="1697"/>
      <c r="AB108" s="1697"/>
      <c r="AC108" s="1697"/>
      <c r="AD108" s="1697"/>
      <c r="AE108" s="1697"/>
      <c r="AF108" s="1225">
        <v>0</v>
      </c>
    </row>
    <row s="4903"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603</v>
      </c>
      <c r="H109" s="642"/>
      <c r="I109" s="642"/>
      <c r="J109" s="354" t="str">
        <f>FHD_NOTE_P_69</f>
        <v/>
      </c>
      <c r="K109" s="608"/>
      <c r="L109" s="1701"/>
      <c r="M109" s="1701"/>
      <c r="R109" s="1701"/>
      <c r="U109" s="609"/>
      <c r="AA109" s="1697"/>
      <c r="AB109" s="1697"/>
      <c r="AC109" s="1697"/>
      <c r="AD109" s="1697"/>
      <c r="AE109" s="1697"/>
      <c r="AF109" s="1225">
        <v>0</v>
      </c>
    </row>
    <row s="4903"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609</v>
      </c>
      <c r="H110" s="622"/>
      <c r="I110" s="622"/>
      <c r="J110" s="354" t="str">
        <f>FHD_NOTE_P_70</f>
        <v/>
      </c>
      <c r="K110" s="608"/>
      <c r="L110" s="1701"/>
      <c r="M110" s="1701"/>
      <c r="R110" s="1701"/>
      <c r="U110" s="609"/>
      <c r="AA110" s="1697"/>
      <c r="AB110" s="1697"/>
      <c r="AC110" s="1697"/>
      <c r="AD110" s="1697"/>
      <c r="AE110" s="1697"/>
      <c r="AF110" s="1225">
        <v>0</v>
      </c>
    </row>
    <row s="4903" customFormat="1" customHeight="1" ht="22.5">
      <c r="A111" s="2436"/>
      <c r="C111" s="1701"/>
      <c r="D111" s="1703"/>
      <c r="E111" s="611" t="str">
        <f>FHD_NUM_P_71</f>
        <v>12</v>
      </c>
      <c r="F111" s="1945" t="str">
        <f>FHD_P_71</f>
        <v>Фактический объем потерь при передаче тепловой энергии</v>
      </c>
      <c r="G111" s="1942" t="s">
        <v>609</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13</v>
      </c>
      <c r="F112" s="1945" t="str">
        <f>FHD_P_72</f>
        <v>Среднесписочная численность основного производственного персонала</v>
      </c>
      <c r="G112" s="1941" t="s">
        <v>610</v>
      </c>
      <c r="H112" s="642"/>
      <c r="I112" s="642"/>
      <c r="J112" s="354" t="str">
        <f>FHD_NOTE_P_72</f>
        <v/>
      </c>
      <c r="K112" s="608"/>
      <c r="AF112" s="1696">
        <v>19</v>
      </c>
    </row>
    <row customHeight="1" ht="18.75">
      <c r="A113" s="1054" t="s">
        <v>611</v>
      </c>
      <c r="D113" s="1703"/>
      <c r="E113" s="611" t="str">
        <f>FHD_NUM_P_73</f>
        <v>14</v>
      </c>
      <c r="F113" s="1945" t="str">
        <f>FHD_P_73</f>
        <v>Среднесписочная численность административно-управленческого персонала</v>
      </c>
      <c r="G113" s="1035" t="s">
        <v>610</v>
      </c>
      <c r="H113" s="1033"/>
      <c r="I113" s="1033"/>
      <c r="J113" s="354" t="str">
        <f>FHD_NOTE_P_73</f>
        <v/>
      </c>
      <c r="K113" s="608"/>
      <c r="AF113" s="1696">
        <v>0</v>
      </c>
    </row>
    <row customHeight="1" ht="33.75" hidden="1">
      <c r="A114" s="1054" t="s">
        <v>612</v>
      </c>
      <c r="D114" s="1703"/>
      <c r="E114" s="611" t="str">
        <f>FHD_NUM_P_74</f>
        <v/>
      </c>
      <c r="F114" s="1945" t="str">
        <f>FHD_P_74</f>
        <v/>
      </c>
      <c r="G114" s="1941" t="s">
        <v>613</v>
      </c>
      <c r="H114" s="642"/>
      <c r="I114" s="642"/>
      <c r="J114" s="354" t="str">
        <f>FHD_NOTE_P_74</f>
        <v/>
      </c>
      <c r="K114" s="608"/>
      <c r="AF114" s="1696">
        <v>0</v>
      </c>
    </row>
    <row s="4921" customFormat="1" customHeight="1" ht="18.75" hidden="1">
      <c r="A115" s="2438" t="s">
        <v>614</v>
      </c>
      <c r="B115" s="975"/>
      <c r="C115" s="800"/>
      <c r="D115" s="798"/>
      <c r="E115" s="611" t="str">
        <f>FHD_NUM_P_75</f>
        <v/>
      </c>
      <c r="F115" s="1945" t="str">
        <f>FHD_P_75</f>
        <v/>
      </c>
      <c r="G115" s="1941" t="s">
        <v>578</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921" customFormat="1" customHeight="1" ht="18.75" hidden="1">
      <c r="A116" s="2438"/>
      <c r="B116" s="975"/>
      <c r="C116" s="800"/>
      <c r="D116" s="798"/>
      <c r="E116" s="611" t="str">
        <f>FHD_NUM_P_76</f>
        <v/>
      </c>
      <c r="F116" s="1945" t="str">
        <f>FHD_P_76</f>
        <v/>
      </c>
      <c r="G116" s="1941" t="s">
        <v>578</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921" customFormat="1" customHeight="1" ht="18.75" hidden="1">
      <c r="A117" s="2438"/>
      <c r="B117" s="975"/>
      <c r="C117" s="800"/>
      <c r="D117" s="798"/>
      <c r="E117" s="611" t="str">
        <f>FHD_NUM_P_77</f>
        <v/>
      </c>
      <c r="F117" s="1945" t="str">
        <f>FHD_P_77</f>
        <v/>
      </c>
      <c r="G117" s="1941" t="s">
        <v>578</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423" customFormat="1" customHeight="1" ht="0.75" hidden="1">
      <c r="A118" s="2438"/>
      <c r="D118" s="613"/>
      <c r="E118" s="1078" t="str">
        <f>E117&amp;".0"</f>
        <v>.0</v>
      </c>
      <c r="F118" s="1062"/>
      <c r="G118" s="1716"/>
      <c r="H118" s="1057"/>
      <c r="I118" s="1057"/>
      <c r="J118" s="1061"/>
      <c r="AF118" s="1701">
        <v>0</v>
      </c>
    </row>
    <row s="4921" customFormat="1" customHeight="1" ht="15" hidden="1">
      <c r="A119" s="2438"/>
      <c r="B119" s="975"/>
      <c r="C119" s="800"/>
      <c r="D119" s="811"/>
      <c r="E119" s="1038"/>
      <c r="F119" s="1039" t="s">
        <v>615</v>
      </c>
      <c r="G119" s="812"/>
      <c r="H119" s="813"/>
      <c r="I119" s="813"/>
      <c r="J119" s="1068" t="s">
        <v>616</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c r="A120" s="2436" t="s">
        <v>617</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580</v>
      </c>
      <c r="H120" s="642"/>
      <c r="I120" s="642"/>
      <c r="J120" s="354" t="str">
        <f>FHD_NOTE_P_78</f>
        <v/>
      </c>
      <c r="K120" s="608"/>
      <c r="AF120" s="1696">
        <v>0</v>
      </c>
    </row>
    <row s="4423" customFormat="1" customHeight="1" ht="0.75">
      <c r="A121" s="2436"/>
      <c r="D121" s="613"/>
      <c r="E121" s="1078" t="str">
        <f>E120&amp;".0"</f>
        <v>15.0</v>
      </c>
      <c r="F121" s="1062"/>
      <c r="G121" s="1716"/>
      <c r="H121" s="1057"/>
      <c r="I121" s="1057"/>
      <c r="J121" s="1061"/>
      <c r="AF121" s="1701">
        <v>0</v>
      </c>
    </row>
    <row customHeight="1" ht="15">
      <c r="A122" s="2436"/>
      <c r="D122" s="1698"/>
      <c r="E122" s="635"/>
      <c r="F122" s="1233" t="s">
        <v>606</v>
      </c>
      <c r="G122" s="637"/>
      <c r="H122" s="638"/>
      <c r="I122" s="638"/>
      <c r="J122" s="1069" t="s">
        <v>618</v>
      </c>
      <c r="K122" s="608"/>
      <c r="AF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582</v>
      </c>
      <c r="H123" s="642"/>
      <c r="I123" s="642"/>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8"/>
      <c r="AF123" s="1696">
        <v>0</v>
      </c>
    </row>
    <row s="4423" customFormat="1" customHeight="1" ht="0.75">
      <c r="A124" s="2436"/>
      <c r="D124" s="613"/>
      <c r="E124" s="1078" t="str">
        <f>E123&amp;".0"</f>
        <v>16.0</v>
      </c>
      <c r="F124" s="1063"/>
      <c r="G124" s="1716"/>
      <c r="H124" s="1057"/>
      <c r="I124" s="1057"/>
      <c r="J124" s="1061"/>
      <c r="AF124" s="1701">
        <v>0</v>
      </c>
    </row>
    <row customHeight="1" ht="15">
      <c r="A125" s="2436"/>
      <c r="D125" s="1698"/>
      <c r="E125" s="635"/>
      <c r="F125" s="1233" t="s">
        <v>606</v>
      </c>
      <c r="G125" s="637"/>
      <c r="H125" s="638"/>
      <c r="I125" s="638"/>
      <c r="J125" s="1069" t="s">
        <v>619</v>
      </c>
      <c r="K125" s="608"/>
      <c r="AF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620</v>
      </c>
      <c r="H126" s="622"/>
      <c r="I126" s="622"/>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08"/>
      <c r="AF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621</v>
      </c>
      <c r="H127" s="622"/>
      <c r="I127" s="622"/>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08"/>
      <c r="AF127" s="1696">
        <v>0</v>
      </c>
    </row>
    <row customHeight="1" ht="18.75">
      <c r="A128" s="2436"/>
      <c r="C128" s="1701" t="s">
        <v>608</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325</v>
      </c>
      <c r="H128" s="466"/>
      <c r="I128" s="466"/>
      <c r="J128" s="354" t="str">
        <f>FHD_NOTE_P_82</f>
        <v>Указывается ссылка на документ, предварительно загруженный в хранилище файлов ФГИС ЕИАС.</v>
      </c>
      <c r="K128" s="608"/>
      <c r="AF128" s="1696">
        <v>0</v>
      </c>
    </row>
    <row customHeight="1" ht="18.75">
      <c r="A129" s="2436"/>
      <c r="C129" s="1701" t="s">
        <v>608</v>
      </c>
      <c r="D129" s="1703"/>
      <c r="E129" s="611" t="str">
        <f>FHD_NUM_P_83</f>
        <v>19.1</v>
      </c>
      <c r="F129" s="1589" t="str">
        <f>FHD_P_83</f>
        <v>Информация о показателях физического износа объектов теплоснабжения</v>
      </c>
      <c r="G129" s="1943" t="s">
        <v>325</v>
      </c>
      <c r="H129" s="466"/>
      <c r="I129" s="466"/>
      <c r="J129" s="354" t="str">
        <f>FHD_NOTE_P_83</f>
        <v>Указывается ссылка на документ, предварительно загруженный в хранилище файлов ФГИС ЕИАС.</v>
      </c>
      <c r="K129" s="608"/>
      <c r="AF129" s="1696">
        <v>0</v>
      </c>
    </row>
    <row customHeight="1" ht="18.75">
      <c r="A130" s="2436"/>
      <c r="C130" s="1701" t="s">
        <v>608</v>
      </c>
      <c r="D130" s="1703"/>
      <c r="E130" s="611" t="str">
        <f>FHD_NUM_P_84</f>
        <v>19.2</v>
      </c>
      <c r="F130" s="1589" t="str">
        <f>FHD_P_84</f>
        <v>Информация о показателях энергетической эффективности объектов теплоснабжения</v>
      </c>
      <c r="G130" s="1943" t="s">
        <v>325</v>
      </c>
      <c r="H130" s="466"/>
      <c r="I130" s="466"/>
      <c r="J130" s="354" t="str">
        <f>FHD_NOTE_P_84</f>
        <v>Указывается ссылка на документ, предварительно загруженный в хранилище файлов ФГИС ЕИАС.</v>
      </c>
      <c r="K130" s="608"/>
      <c r="AF130" s="1696">
        <v>0</v>
      </c>
    </row>
    <row customHeight="1" ht="11.549999999999999">
      <c r="D131" s="1703"/>
      <c r="AF131" s="1696">
        <v>11</v>
      </c>
    </row>
    <row customHeight="1" ht="13.5">
      <c r="D132" s="1703"/>
      <c r="E132" s="401"/>
      <c r="F132" s="434"/>
      <c r="G132" s="434"/>
      <c r="H132" s="434"/>
      <c r="I132" s="1712"/>
      <c r="J132" s="646"/>
      <c r="AF132" s="1696">
        <v>13</v>
      </c>
    </row>
    <row s="4094"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4094"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4094"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4094"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4094"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4094"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4094"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4094"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4094"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4094"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4094"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4094"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4094"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4094"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4094"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4094"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4094"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4094"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4094"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4094"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4094"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4094"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4094"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4094"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4094"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4094"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4094"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4094"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4094"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4094"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4094"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4094"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4094"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4094"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4094"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4094"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4094"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4094"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4094"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4094"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4094"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4094"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4094"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4094"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4094"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4094"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4094"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4094"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4094"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4094"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4094"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4094"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4094"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4094"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4094"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4094"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4094"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4094"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4094"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4094"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4094"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4094"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4094"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4094"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4094"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4094"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4094"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4094"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4094"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4094"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4094"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4094"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4094"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4094"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4094"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4094"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4094"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4094"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4094"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4094"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4094"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4094"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4094"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4094"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4094"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4094"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4094"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4094"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4094"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4094"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4094"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4094"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4094"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4094"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4094"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4094"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4094"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4094"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4094"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4094"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4094"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4094"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4094"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4094"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4094"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4094"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4094"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4094"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4094"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4094"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4094"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4094"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4094"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4094"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4094"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4094"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4094"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4094"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4094"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4094"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4094"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4094"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4094"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4094"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4094"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4094"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4094"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4094"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4094"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4094"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4094"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4094"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4094"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4094"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4094"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4094"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4094"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4094"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4094"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4094"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4094"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4094"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4094"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4094"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4094"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4094"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4094"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4094"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4094"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4094"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4094"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4094"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4094"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4094"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4094"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4094"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85</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C03ED-03C1-7DBC-0572-66E97260085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468" width="14.7109375" hidden="1" customWidth="1"/>
    <col min="2" max="2" style="5200" width="17.00390625" hidden="1" customWidth="1"/>
    <col min="3" max="3" style="4921" width="3.00390625" customWidth="1"/>
    <col min="4" max="4" style="4921" width="1.8515625" hidden="1" customWidth="1"/>
    <col min="5" max="6" style="4921" width="7.00390625" customWidth="1"/>
    <col min="7" max="7" style="4921" width="29.00390625" customWidth="1"/>
    <col min="8" max="8" style="4921" width="3.7109375" customWidth="1"/>
    <col min="9" max="9" style="4921" width="5.00390625" customWidth="1"/>
    <col min="10" max="11" style="4921" width="24.00390625" customWidth="1"/>
    <col min="12" max="12" style="4921" width="3.00390625" customWidth="1"/>
    <col min="13" max="13" style="4921" width="6.00390625" customWidth="1"/>
    <col min="14" max="14" style="4921" width="25.00390625" customWidth="1"/>
    <col min="15" max="18" style="4921" width="18.00390625" customWidth="1"/>
    <col min="19" max="19" style="4921" width="93.00390625" customWidth="1"/>
    <col min="20" max="20" style="4921" width="10.00390625" customWidth="1"/>
    <col min="21" max="21" style="4423" width="10.00390625" customWidth="1"/>
    <col min="22" max="22" style="4423" width="11.00390625" customWidth="1"/>
    <col min="23" max="27" style="5200" width="10.00390625" customWidth="1"/>
    <col min="28" max="83" style="4921" width="8.00390625" customWidth="1"/>
    <col min="84" max="84" style="4921"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921" customFormat="1" customHeight="1" ht="16.8">
      <c r="A6" s="675"/>
      <c r="B6" s="824"/>
      <c r="C6" s="574"/>
      <c r="D6" s="1123"/>
      <c r="E6" s="2241" t="str">
        <f>IF(org=0,"Не определено",org)</f>
        <v>Филиал ПАО "ОГК-2"-Ставропольская ГРЭС</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4094"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319</v>
      </c>
      <c r="F9" s="2167"/>
      <c r="G9" s="2167"/>
      <c r="H9" s="2167"/>
      <c r="I9" s="2167"/>
      <c r="J9" s="2167"/>
      <c r="K9" s="2167"/>
      <c r="L9" s="2167"/>
      <c r="M9" s="2167"/>
      <c r="N9" s="2167"/>
      <c r="O9" s="2167"/>
      <c r="P9" s="2167"/>
      <c r="Q9" s="2167"/>
      <c r="R9" s="2168"/>
      <c r="S9" s="2192" t="s">
        <v>320</v>
      </c>
      <c r="T9" s="399"/>
      <c r="CF9" s="570">
        <v>19</v>
      </c>
    </row>
    <row customHeight="1" ht="48.29999999999999">
      <c r="D10" s="616" t="s">
        <v>91</v>
      </c>
      <c r="E10" s="2192" t="s">
        <v>91</v>
      </c>
      <c r="F10" s="2192"/>
      <c r="G10" s="586" t="s">
        <v>321</v>
      </c>
      <c r="H10" s="2192" t="s">
        <v>91</v>
      </c>
      <c r="I10" s="2192"/>
      <c r="J10" s="586" t="s">
        <v>622</v>
      </c>
      <c r="K10" s="586" t="s">
        <v>623</v>
      </c>
      <c r="L10" s="2192" t="s">
        <v>91</v>
      </c>
      <c r="M10" s="2192"/>
      <c r="N10" s="586" t="s">
        <v>624</v>
      </c>
      <c r="O10" s="586" t="s">
        <v>625</v>
      </c>
      <c r="P10" s="586" t="s">
        <v>626</v>
      </c>
      <c r="Q10" s="586" t="s">
        <v>627</v>
      </c>
      <c r="R10" s="586" t="s">
        <v>628</v>
      </c>
      <c r="S10" s="2192"/>
      <c r="T10" s="399"/>
      <c r="CF10" s="570">
        <v>46</v>
      </c>
    </row>
    <row s="4423" customFormat="1" customHeight="1" ht="15" hidden="1">
      <c r="A11" s="1117"/>
      <c r="D11" s="1090" t="s">
        <v>112</v>
      </c>
      <c r="E11" s="1090"/>
      <c r="F11" s="1090" t="s">
        <v>113</v>
      </c>
      <c r="G11" s="1090" t="s">
        <v>93</v>
      </c>
      <c r="H11" s="1090"/>
      <c r="I11" s="1090" t="s">
        <v>94</v>
      </c>
      <c r="J11" s="1090" t="s">
        <v>114</v>
      </c>
      <c r="K11" s="1090" t="s">
        <v>95</v>
      </c>
      <c r="L11" s="1090"/>
      <c r="M11" s="1090" t="s">
        <v>96</v>
      </c>
      <c r="N11" s="1090" t="s">
        <v>115</v>
      </c>
      <c r="O11" s="1090" t="s">
        <v>151</v>
      </c>
      <c r="P11" s="1090" t="s">
        <v>152</v>
      </c>
      <c r="Q11" s="1090" t="s">
        <v>153</v>
      </c>
      <c r="R11" s="1090" t="s">
        <v>154</v>
      </c>
      <c r="S11" s="1090" t="s">
        <v>155</v>
      </c>
      <c r="U11" s="676"/>
      <c r="V11" s="676"/>
      <c r="W11" s="676"/>
      <c r="CF11" s="576">
        <v>0</v>
      </c>
    </row>
    <row s="4921" customFormat="1" customHeight="1" ht="1.05">
      <c r="A12" s="680"/>
      <c r="B12" s="427"/>
      <c r="D12" s="613"/>
      <c r="E12" s="411"/>
      <c r="F12" s="411"/>
      <c r="Q12" s="681"/>
      <c r="R12" s="682"/>
      <c r="T12" s="683"/>
      <c r="U12" s="684"/>
      <c r="V12" s="684"/>
      <c r="W12" s="685"/>
      <c r="X12" s="427"/>
      <c r="Y12" s="427"/>
      <c r="Z12" s="427"/>
      <c r="AA12" s="427"/>
      <c r="CF12" s="574">
        <v>1</v>
      </c>
    </row>
    <row s="4094" customFormat="1" customHeight="1" ht="1.05">
      <c r="A13" s="686"/>
      <c r="B13" s="631"/>
      <c r="D13" s="613" t="s">
        <v>395</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662" customFormat="1" customHeight="1" ht="15" hidden="1">
      <c r="A14" s="688" t="s">
        <v>120</v>
      </c>
      <c r="B14" s="689"/>
      <c r="C14" s="689"/>
      <c r="D14" s="2445" t="s">
        <v>112</v>
      </c>
      <c r="E14" s="2442" t="s">
        <v>108</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629</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662" customFormat="1" customHeight="1" ht="15" hidden="1">
      <c r="A15" s="688"/>
      <c r="B15" s="689"/>
      <c r="C15" s="689"/>
      <c r="D15" s="2446"/>
      <c r="E15" s="2442" t="s">
        <v>584</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662" customFormat="1" customHeight="1" ht="15" hidden="1">
      <c r="A16" s="688"/>
      <c r="B16" s="689"/>
      <c r="C16" s="689"/>
      <c r="D16" s="2446"/>
      <c r="E16" s="2442" t="s">
        <v>585</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662" customFormat="1" customHeight="1" ht="22.5" hidden="1">
      <c r="A17" s="698"/>
      <c r="B17" s="482"/>
      <c r="C17" s="477"/>
      <c r="D17" s="2446"/>
      <c r="E17" s="2441" t="s">
        <v>630</v>
      </c>
      <c r="F17" s="2441"/>
      <c r="G17" s="2441"/>
      <c r="H17" s="2441"/>
      <c r="I17" s="2441"/>
      <c r="J17" s="2441"/>
      <c r="K17" s="2441"/>
      <c r="L17" s="2441"/>
      <c r="M17" s="2441"/>
      <c r="N17" s="2441"/>
      <c r="O17" s="2441"/>
      <c r="P17" s="2441"/>
      <c r="Q17" s="623">
        <f>SUMIF(T18:T19,"i",Q18:Q19)</f>
        <v>0</v>
      </c>
      <c r="R17" s="1082"/>
      <c r="S17" s="962" t="s">
        <v>631</v>
      </c>
      <c r="T17" s="782" t="s">
        <v>632</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662"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662"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662" customFormat="1" customHeight="1" ht="22.5" hidden="1">
      <c r="A20" s="698"/>
      <c r="B20" s="482"/>
      <c r="C20" s="477"/>
      <c r="D20" s="2446"/>
      <c r="E20" s="2441" t="s">
        <v>633</v>
      </c>
      <c r="F20" s="2441"/>
      <c r="G20" s="2441"/>
      <c r="H20" s="2441"/>
      <c r="I20" s="2441"/>
      <c r="J20" s="2441"/>
      <c r="K20" s="2441"/>
      <c r="L20" s="2441"/>
      <c r="M20" s="2441"/>
      <c r="N20" s="2441"/>
      <c r="O20" s="2441"/>
      <c r="P20" s="2441"/>
      <c r="Q20" s="623">
        <f>SUMIF(T21:T22,"i",Q21:Q22)</f>
        <v>0</v>
      </c>
      <c r="R20" s="1082"/>
      <c r="S20" s="774" t="s">
        <v>634</v>
      </c>
      <c r="T20" s="782" t="s">
        <v>632</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662"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662"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85</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521D5-ECF6-70A3-DE4A-12C5BAFF167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4298" width="10.7109375" hidden="1" customWidth="1"/>
    <col min="6" max="6" style="4903" width="16.8515625" hidden="1" customWidth="1"/>
    <col min="7" max="7" style="4423" width="5.57421875" hidden="1" customWidth="1"/>
    <col min="8" max="8" style="4921" width="3.00390625" customWidth="1"/>
    <col min="9" max="9" style="4921" width="7.00390625" customWidth="1"/>
    <col min="10" max="10" style="4921" width="56.00390625" customWidth="1"/>
    <col min="11" max="11" style="4921" width="10.00390625" customWidth="1"/>
    <col min="12" max="12" style="4921" width="40.57421875" hidden="1" customWidth="1"/>
    <col min="13" max="13" style="4921" width="40.7109375" customWidth="1"/>
    <col min="14" max="14" style="4903" width="9.7109375" hidden="1" customWidth="1"/>
    <col min="15" max="15" style="4921" width="102.00390625" customWidth="1"/>
    <col min="16" max="16" style="4903" width="9.00390625" customWidth="1"/>
    <col min="17" max="17" style="4423" width="5.00390625" customWidth="1"/>
    <col min="18" max="18" style="4423" width="3.00390625" customWidth="1"/>
    <col min="19" max="22" style="4903" width="3.00390625" customWidth="1"/>
    <col min="23" max="23" style="4423" width="10.00390625" customWidth="1"/>
    <col min="24" max="24" style="4903" width="34.00390625" customWidth="1"/>
    <col min="25" max="25" style="4903" width="9.00390625" customWidth="1"/>
    <col min="26" max="26" style="4368" width="8.00390625" customWidth="1"/>
    <col min="27" max="31" style="4903" width="8.00390625" customWidth="1"/>
    <col min="32" max="36" style="5200" width="8.00390625" customWidth="1"/>
    <col min="37" max="37" style="4921" width="5.421875" hidden="1" customWidth="1"/>
  </cols>
  <sheetData>
    <row s="4903" customFormat="1" customHeight="1" ht="33.75" hidden="1">
      <c r="A1" s="1052"/>
      <c r="B1" s="1052"/>
      <c r="C1" s="1052"/>
      <c r="D1" s="1052"/>
      <c r="E1" s="1052"/>
      <c r="G1" s="1701"/>
      <c r="H1" s="943"/>
      <c r="L1" s="1431">
        <v>4</v>
      </c>
      <c r="M1" s="1431">
        <v>4</v>
      </c>
      <c r="Q1" s="1701"/>
      <c r="R1" s="1701"/>
      <c r="W1" s="1701"/>
      <c r="AK1" s="1431" t="s">
        <v>14</v>
      </c>
    </row>
    <row s="4903" customFormat="1" customHeight="1" ht="78.75" hidden="1">
      <c r="A2" s="1052"/>
      <c r="B2" s="2118" t="s">
        <v>635</v>
      </c>
      <c r="C2" s="2118" t="s">
        <v>636</v>
      </c>
      <c r="D2" s="2117" t="s">
        <v>637</v>
      </c>
      <c r="E2" s="2121">
        <f>RIGHT(I2,LEN(I2)-SEARCH("#",SUBSTITUTE(I2,".","#",LEN(I2)-LEN(SUBSTITUTE(I2,".","")))))</f>
      </c>
      <c r="F2" s="2123">
        <f>J2</f>
        <v>0</v>
      </c>
      <c r="G2" s="1701"/>
      <c r="H2" s="2124"/>
      <c r="I2" s="2114"/>
      <c r="J2" s="605"/>
      <c r="K2" s="2084" t="s">
        <v>576</v>
      </c>
      <c r="L2" s="816"/>
      <c r="M2" s="816"/>
      <c r="N2" s="608"/>
      <c r="O2" s="1590" t="s">
        <v>577</v>
      </c>
      <c r="P2" s="608"/>
      <c r="Q2" s="1701"/>
      <c r="R2" s="1701"/>
      <c r="W2" s="1701"/>
      <c r="Z2" s="609"/>
      <c r="AF2" s="1697"/>
      <c r="AG2" s="1697"/>
      <c r="AH2" s="1697"/>
      <c r="AI2" s="1697"/>
      <c r="AJ2" s="1697"/>
      <c r="AK2" s="1431">
        <v>0</v>
      </c>
    </row>
    <row customHeight="1" ht="11.25" hidden="1">
      <c r="E3" s="2116" t="s">
        <v>638</v>
      </c>
      <c r="L3" s="1696">
        <f>0</f>
        <v>0</v>
      </c>
      <c r="M3" s="1696">
        <v>1</v>
      </c>
      <c r="AK3" s="1696">
        <v>0</v>
      </c>
    </row>
    <row s="5200"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639</v>
      </c>
      <c r="J6" s="2372"/>
      <c r="K6" s="2372"/>
      <c r="L6" s="2372"/>
      <c r="M6" s="2372"/>
      <c r="O6" s="621"/>
      <c r="AK6" s="1696">
        <v>55</v>
      </c>
    </row>
    <row customHeight="1" ht="25.2">
      <c r="I7" s="2314" t="str">
        <f>IF(org=0,"Не определено",org)</f>
        <v>Филиал ПАО "ОГК-2"-Ставропольская ГРЭС</v>
      </c>
      <c r="J7" s="2314"/>
      <c r="K7" s="2314"/>
      <c r="L7" s="2314"/>
      <c r="M7" s="2314"/>
      <c r="AK7" s="1696">
        <v>24</v>
      </c>
    </row>
    <row customHeight="1" ht="11.549999999999999">
      <c r="I8" s="1200"/>
      <c r="J8" s="1200"/>
      <c r="K8" s="1200"/>
      <c r="L8" s="1200"/>
      <c r="M8" s="1200"/>
      <c r="AK8" s="1696">
        <v>11</v>
      </c>
    </row>
    <row s="4423" customFormat="1" customHeight="1" ht="30" hidden="1">
      <c r="A9" s="1232"/>
      <c r="B9" s="1232"/>
      <c r="C9" s="1232"/>
      <c r="E9" s="1232"/>
      <c r="H9" s="1707"/>
      <c r="L9" s="954"/>
      <c r="M9" s="954" t="s">
        <v>120</v>
      </c>
      <c r="AK9" s="1701">
        <v>1</v>
      </c>
    </row>
    <row customHeight="1" ht="11.549999999999999">
      <c r="E10" s="2115" t="s">
        <v>640</v>
      </c>
      <c r="I10" s="776"/>
      <c r="J10" s="2432" t="s">
        <v>108</v>
      </c>
      <c r="K10" s="2433"/>
      <c r="L10" s="2094" t="str">
        <f>IF(L9="","",INDEX(DIFFERENTIATION_UNMERGE_VD,MATCH(L9,DIFFERENTIATION_ID_DIFF,0)))</f>
        <v/>
      </c>
      <c r="M10" s="2094">
        <f>IF(M9="","",INDEX(DIFFERENTIATION_UNMERGE_VD,MATCH(M9,DIFFERENTIATION_ID_DIFF,0)))</f>
        <v>0</v>
      </c>
      <c r="O10" s="2192" t="s">
        <v>320</v>
      </c>
      <c r="AK10" s="1696">
        <v>11</v>
      </c>
    </row>
    <row customHeight="1" ht="11.549999999999999">
      <c r="E11" s="2115" t="s">
        <v>641</v>
      </c>
      <c r="I11" s="776"/>
      <c r="J11" s="2432" t="s">
        <v>584</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642</v>
      </c>
      <c r="I12" s="1727"/>
      <c r="J12" s="2432" t="s">
        <v>585</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643</v>
      </c>
      <c r="F13" s="2115" t="s">
        <v>644</v>
      </c>
      <c r="I13" s="2434" t="s">
        <v>319</v>
      </c>
      <c r="J13" s="2435"/>
      <c r="K13" s="2435"/>
      <c r="L13" s="2092"/>
      <c r="M13" s="2132"/>
      <c r="O13" s="2192"/>
      <c r="AK13" s="1696">
        <v>11</v>
      </c>
    </row>
    <row customHeight="1" ht="24">
      <c r="I14" s="2085" t="s">
        <v>91</v>
      </c>
      <c r="J14" s="2085" t="s">
        <v>321</v>
      </c>
      <c r="K14" s="2085" t="s">
        <v>586</v>
      </c>
      <c r="L14" s="2125" t="s">
        <v>322</v>
      </c>
      <c r="M14" s="2126" t="s">
        <v>322</v>
      </c>
      <c r="O14" s="2192"/>
      <c r="AK14" s="1696">
        <v>23</v>
      </c>
    </row>
    <row customHeight="1" ht="24">
      <c r="A15" s="2119"/>
      <c r="B15" s="2118" t="s">
        <v>645</v>
      </c>
      <c r="C15" s="2118" t="s">
        <v>646</v>
      </c>
      <c r="D15" s="2117" t="s">
        <v>647</v>
      </c>
      <c r="E15" s="2121" t="s">
        <v>648</v>
      </c>
      <c r="F15" s="2121" t="s">
        <v>648</v>
      </c>
      <c r="G15" s="1701" t="s">
        <v>608</v>
      </c>
      <c r="H15" s="2086"/>
      <c r="I15" s="1695">
        <v>1</v>
      </c>
      <c r="J15" s="2087" t="s">
        <v>649</v>
      </c>
      <c r="K15" s="2085" t="s">
        <v>325</v>
      </c>
      <c r="L15" s="727"/>
      <c r="M15" s="883"/>
      <c r="N15" s="608" t="s">
        <v>650</v>
      </c>
      <c r="O15" s="1590" t="s">
        <v>651</v>
      </c>
      <c r="P15" s="608" t="s">
        <v>650</v>
      </c>
      <c r="AK15" s="1696">
        <v>23</v>
      </c>
    </row>
    <row customHeight="1" ht="35.699999999999996">
      <c r="A16" s="2119"/>
      <c r="B16" s="2118" t="s">
        <v>652</v>
      </c>
      <c r="C16" s="2118" t="s">
        <v>653</v>
      </c>
      <c r="D16" s="2117" t="s">
        <v>637</v>
      </c>
      <c r="E16" s="2121" t="s">
        <v>648</v>
      </c>
      <c r="F16" s="2121" t="s">
        <v>648</v>
      </c>
      <c r="H16" s="2086"/>
      <c r="I16" s="1694">
        <v>2</v>
      </c>
      <c r="J16" s="2128" t="s">
        <v>654</v>
      </c>
      <c r="K16" s="2127" t="s">
        <v>576</v>
      </c>
      <c r="L16" s="2133"/>
      <c r="M16" s="1741"/>
      <c r="N16" s="608" t="s">
        <v>650</v>
      </c>
      <c r="O16" s="1590" t="s">
        <v>655</v>
      </c>
      <c r="P16" s="608" t="s">
        <v>650</v>
      </c>
      <c r="AK16" s="1696">
        <v>34</v>
      </c>
    </row>
    <row s="4423" customFormat="1" customHeight="1" ht="17.25" hidden="1">
      <c r="A17" s="1232"/>
      <c r="B17" s="1232"/>
      <c r="C17" s="1232"/>
      <c r="D17" s="1232"/>
      <c r="E17" s="1232"/>
      <c r="H17" s="1389"/>
      <c r="I17" s="1078" t="s">
        <v>656</v>
      </c>
      <c r="J17" s="1056"/>
      <c r="K17" s="1078"/>
      <c r="L17" s="1057"/>
      <c r="M17" s="1057"/>
      <c r="O17" s="1450"/>
      <c r="AK17" s="1701">
        <v>1</v>
      </c>
    </row>
    <row s="4903" customFormat="1" customHeight="1" ht="24">
      <c r="A18" s="1052"/>
      <c r="B18" s="1052"/>
      <c r="C18" s="1052"/>
      <c r="D18" s="1052"/>
      <c r="E18" s="1052"/>
      <c r="G18" s="1701"/>
      <c r="H18" s="1698"/>
      <c r="I18" s="635"/>
      <c r="J18" s="636" t="s">
        <v>606</v>
      </c>
      <c r="K18" s="637"/>
      <c r="L18" s="2135"/>
      <c r="M18" s="638"/>
      <c r="N18" s="608"/>
      <c r="O18" s="1590" t="s">
        <v>607</v>
      </c>
      <c r="P18" s="608"/>
      <c r="Q18" s="1701"/>
      <c r="R18" s="1701"/>
      <c r="W18" s="1701"/>
      <c r="Z18" s="609"/>
      <c r="AF18" s="1697"/>
      <c r="AG18" s="1697"/>
      <c r="AH18" s="1697"/>
      <c r="AI18" s="1697"/>
      <c r="AJ18" s="1697"/>
      <c r="AK18" s="1431">
        <v>23</v>
      </c>
    </row>
    <row customHeight="1" ht="19.95">
      <c r="A19" s="2119"/>
      <c r="B19" s="2118" t="s">
        <v>657</v>
      </c>
      <c r="C19" s="2118" t="s">
        <v>658</v>
      </c>
      <c r="D19" s="2117" t="s">
        <v>637</v>
      </c>
      <c r="E19" s="2121" t="s">
        <v>648</v>
      </c>
      <c r="F19" s="2121" t="s">
        <v>648</v>
      </c>
      <c r="H19" s="2086"/>
      <c r="I19" s="1729">
        <v>3</v>
      </c>
      <c r="J19" s="2087" t="s">
        <v>658</v>
      </c>
      <c r="K19" s="2083" t="s">
        <v>576</v>
      </c>
      <c r="L19" s="792"/>
      <c r="M19" s="622"/>
      <c r="N19" s="608"/>
      <c r="O19" s="1590" t="s">
        <v>659</v>
      </c>
      <c r="P19" s="608"/>
      <c r="AK19" s="1696">
        <v>19</v>
      </c>
    </row>
    <row customHeight="1" ht="77.7">
      <c r="A20" s="2119"/>
      <c r="B20" s="2118" t="s">
        <v>660</v>
      </c>
      <c r="C20" s="2118" t="s">
        <v>661</v>
      </c>
      <c r="D20" s="2117" t="s">
        <v>637</v>
      </c>
      <c r="E20" s="2121" t="s">
        <v>648</v>
      </c>
      <c r="F20" s="2121" t="s">
        <v>648</v>
      </c>
      <c r="H20" s="2086"/>
      <c r="I20" s="1729">
        <v>4</v>
      </c>
      <c r="J20" s="2087" t="s">
        <v>662</v>
      </c>
      <c r="K20" s="2083" t="s">
        <v>603</v>
      </c>
      <c r="L20" s="792"/>
      <c r="M20" s="622"/>
      <c r="N20" s="608"/>
      <c r="O20" s="1590"/>
      <c r="P20" s="608"/>
      <c r="AK20" s="1696">
        <v>74</v>
      </c>
    </row>
    <row customHeight="1" ht="35.699999999999996">
      <c r="A21" s="2119"/>
      <c r="B21" s="2118" t="s">
        <v>663</v>
      </c>
      <c r="C21" s="2118" t="s">
        <v>664</v>
      </c>
      <c r="D21" s="2117" t="s">
        <v>637</v>
      </c>
      <c r="E21" s="2121" t="s">
        <v>648</v>
      </c>
      <c r="F21" s="2121" t="s">
        <v>648</v>
      </c>
      <c r="H21" s="2086"/>
      <c r="I21" s="1729">
        <v>5</v>
      </c>
      <c r="J21" s="2087" t="s">
        <v>665</v>
      </c>
      <c r="K21" s="2083" t="s">
        <v>603</v>
      </c>
      <c r="L21" s="792"/>
      <c r="M21" s="622"/>
      <c r="N21" s="608"/>
      <c r="O21" s="1590" t="s">
        <v>659</v>
      </c>
      <c r="P21" s="608"/>
      <c r="AK21" s="1696">
        <v>34</v>
      </c>
    </row>
    <row customHeight="1" ht="48.29999999999999">
      <c r="A22" s="2119"/>
      <c r="B22" s="2118" t="s">
        <v>666</v>
      </c>
      <c r="C22" s="2118" t="s">
        <v>667</v>
      </c>
      <c r="D22" s="2117" t="s">
        <v>637</v>
      </c>
      <c r="E22" s="2121" t="s">
        <v>648</v>
      </c>
      <c r="F22" s="2121" t="s">
        <v>648</v>
      </c>
      <c r="H22" s="2086"/>
      <c r="I22" s="1729">
        <v>6</v>
      </c>
      <c r="J22" s="2087" t="s">
        <v>668</v>
      </c>
      <c r="K22" s="2083" t="s">
        <v>603</v>
      </c>
      <c r="L22" s="792"/>
      <c r="M22" s="622"/>
      <c r="N22" s="608"/>
      <c r="O22" s="1590" t="s">
        <v>669</v>
      </c>
      <c r="P22" s="608"/>
      <c r="AK22" s="1696">
        <v>46</v>
      </c>
    </row>
    <row customHeight="1" ht="19.95">
      <c r="A23" s="2119"/>
      <c r="B23" s="2118" t="s">
        <v>670</v>
      </c>
      <c r="C23" s="2118" t="s">
        <v>671</v>
      </c>
      <c r="D23" s="2117" t="s">
        <v>637</v>
      </c>
      <c r="E23" s="2121" t="s">
        <v>648</v>
      </c>
      <c r="F23" s="2121" t="s">
        <v>648</v>
      </c>
      <c r="H23" s="2086"/>
      <c r="I23" s="1729" t="s">
        <v>672</v>
      </c>
      <c r="J23" s="1589" t="s">
        <v>673</v>
      </c>
      <c r="K23" s="2083" t="s">
        <v>603</v>
      </c>
      <c r="L23" s="792"/>
      <c r="M23" s="622"/>
      <c r="N23" s="608"/>
      <c r="O23" s="1590" t="s">
        <v>659</v>
      </c>
      <c r="P23" s="608"/>
      <c r="AK23" s="1696">
        <v>19</v>
      </c>
    </row>
    <row customHeight="1" ht="19.95">
      <c r="A24" s="2119"/>
      <c r="B24" s="2118" t="s">
        <v>674</v>
      </c>
      <c r="C24" s="2118" t="s">
        <v>675</v>
      </c>
      <c r="D24" s="2117" t="s">
        <v>637</v>
      </c>
      <c r="E24" s="2121" t="s">
        <v>648</v>
      </c>
      <c r="F24" s="2121" t="s">
        <v>648</v>
      </c>
      <c r="H24" s="2086"/>
      <c r="I24" s="1729" t="s">
        <v>676</v>
      </c>
      <c r="J24" s="1589" t="s">
        <v>677</v>
      </c>
      <c r="K24" s="2083" t="s">
        <v>603</v>
      </c>
      <c r="L24" s="792"/>
      <c r="M24" s="622"/>
      <c r="N24" s="608"/>
      <c r="O24" s="1590"/>
      <c r="P24" s="608"/>
      <c r="AK24" s="1696">
        <v>19</v>
      </c>
    </row>
    <row customHeight="1" ht="24">
      <c r="A25" s="2119"/>
      <c r="B25" s="2118" t="s">
        <v>678</v>
      </c>
      <c r="C25" s="2118" t="s">
        <v>679</v>
      </c>
      <c r="D25" s="2117" t="s">
        <v>637</v>
      </c>
      <c r="E25" s="2121" t="s">
        <v>648</v>
      </c>
      <c r="F25" s="2121" t="s">
        <v>648</v>
      </c>
      <c r="H25" s="2086"/>
      <c r="I25" s="1729" t="s">
        <v>680</v>
      </c>
      <c r="J25" s="1589" t="s">
        <v>681</v>
      </c>
      <c r="K25" s="2083" t="s">
        <v>603</v>
      </c>
      <c r="L25" s="792"/>
      <c r="M25" s="622"/>
      <c r="N25" s="608"/>
      <c r="O25" s="1590"/>
      <c r="P25" s="608"/>
      <c r="AK25" s="1696">
        <v>23</v>
      </c>
    </row>
    <row customHeight="1" ht="24">
      <c r="A26" s="2119"/>
      <c r="B26" s="2118" t="s">
        <v>682</v>
      </c>
      <c r="C26" s="2118" t="s">
        <v>683</v>
      </c>
      <c r="D26" s="2117" t="s">
        <v>637</v>
      </c>
      <c r="E26" s="2121" t="s">
        <v>648</v>
      </c>
      <c r="F26" s="2121" t="s">
        <v>648</v>
      </c>
      <c r="H26" s="2086"/>
      <c r="I26" s="1729">
        <v>7</v>
      </c>
      <c r="J26" s="2087" t="s">
        <v>683</v>
      </c>
      <c r="K26" s="2083" t="s">
        <v>684</v>
      </c>
      <c r="L26" s="792"/>
      <c r="M26" s="622"/>
      <c r="N26" s="608"/>
      <c r="O26" s="1590"/>
      <c r="P26" s="608"/>
      <c r="AK26" s="1696">
        <v>23</v>
      </c>
    </row>
    <row customHeight="1" ht="24">
      <c r="A27" s="2119"/>
      <c r="B27" s="2118" t="s">
        <v>685</v>
      </c>
      <c r="C27" s="2118" t="s">
        <v>686</v>
      </c>
      <c r="D27" s="2117" t="s">
        <v>637</v>
      </c>
      <c r="E27" s="2121" t="s">
        <v>648</v>
      </c>
      <c r="F27" s="2121" t="s">
        <v>648</v>
      </c>
      <c r="H27" s="2086"/>
      <c r="I27" s="1729">
        <v>8</v>
      </c>
      <c r="J27" s="2087" t="s">
        <v>686</v>
      </c>
      <c r="K27" s="2083" t="s">
        <v>609</v>
      </c>
      <c r="L27" s="792"/>
      <c r="M27" s="622"/>
      <c r="N27" s="608"/>
      <c r="O27" s="1590"/>
      <c r="P27" s="608"/>
      <c r="AK27" s="1696">
        <v>23</v>
      </c>
    </row>
    <row customHeight="1" ht="35.699999999999996">
      <c r="A28" s="2119"/>
      <c r="B28" s="2118" t="s">
        <v>687</v>
      </c>
      <c r="C28" s="2118" t="s">
        <v>688</v>
      </c>
      <c r="D28" s="2117" t="s">
        <v>637</v>
      </c>
      <c r="E28" s="2121" t="s">
        <v>648</v>
      </c>
      <c r="F28" s="2121" t="s">
        <v>648</v>
      </c>
      <c r="H28" s="2086"/>
      <c r="I28" s="1740">
        <v>9</v>
      </c>
      <c r="J28" s="2087" t="s">
        <v>689</v>
      </c>
      <c r="K28" s="2083" t="s">
        <v>580</v>
      </c>
      <c r="L28" s="792"/>
      <c r="M28" s="622"/>
      <c r="N28" s="608"/>
      <c r="O28" s="1590"/>
      <c r="P28" s="608"/>
      <c r="AK28" s="1696">
        <v>34</v>
      </c>
    </row>
    <row customHeight="1" ht="35.699999999999996">
      <c r="A29" s="2119"/>
      <c r="B29" s="2118" t="s">
        <v>690</v>
      </c>
      <c r="C29" s="2118" t="s">
        <v>691</v>
      </c>
      <c r="D29" s="2117" t="s">
        <v>637</v>
      </c>
      <c r="E29" s="2121" t="s">
        <v>648</v>
      </c>
      <c r="F29" s="2121" t="s">
        <v>648</v>
      </c>
      <c r="H29" s="2086"/>
      <c r="I29" s="1740">
        <v>10</v>
      </c>
      <c r="J29" s="2087" t="s">
        <v>692</v>
      </c>
      <c r="K29" s="2083" t="s">
        <v>580</v>
      </c>
      <c r="L29" s="792"/>
      <c r="M29" s="622"/>
      <c r="N29" s="608"/>
      <c r="O29" s="1590"/>
      <c r="P29" s="608"/>
      <c r="AK29" s="1696">
        <v>34</v>
      </c>
    </row>
    <row customHeight="1" ht="24">
      <c r="A30" s="2119"/>
      <c r="B30" s="2118" t="s">
        <v>693</v>
      </c>
      <c r="C30" s="2118" t="s">
        <v>694</v>
      </c>
      <c r="D30" s="2117" t="s">
        <v>637</v>
      </c>
      <c r="E30" s="2121" t="s">
        <v>648</v>
      </c>
      <c r="F30" s="2121" t="s">
        <v>648</v>
      </c>
      <c r="H30" s="2086"/>
      <c r="I30" s="1740">
        <v>11</v>
      </c>
      <c r="J30" s="2087" t="s">
        <v>694</v>
      </c>
      <c r="K30" s="2083" t="s">
        <v>610</v>
      </c>
      <c r="L30" s="2134"/>
      <c r="M30" s="1686"/>
      <c r="N30" s="608"/>
      <c r="O30" s="1590"/>
      <c r="P30" s="608"/>
      <c r="AK30" s="1696">
        <v>23</v>
      </c>
    </row>
    <row customHeight="1" ht="24">
      <c r="A31" s="2119"/>
      <c r="B31" s="2118" t="s">
        <v>695</v>
      </c>
      <c r="C31" s="2118" t="s">
        <v>696</v>
      </c>
      <c r="D31" s="2117" t="s">
        <v>637</v>
      </c>
      <c r="E31" s="2121" t="s">
        <v>648</v>
      </c>
      <c r="F31" s="2121" t="s">
        <v>648</v>
      </c>
      <c r="H31" s="2086"/>
      <c r="I31" s="1740">
        <v>12</v>
      </c>
      <c r="J31" s="2087" t="s">
        <v>696</v>
      </c>
      <c r="K31" s="2083" t="s">
        <v>610</v>
      </c>
      <c r="L31" s="2134"/>
      <c r="M31" s="1686"/>
      <c r="N31" s="608"/>
      <c r="O31" s="1590"/>
      <c r="P31" s="608"/>
      <c r="AK31" s="1696">
        <v>23</v>
      </c>
    </row>
    <row customHeight="1" ht="48.29999999999999">
      <c r="A32" s="2119"/>
      <c r="B32" s="2118" t="s">
        <v>697</v>
      </c>
      <c r="C32" s="2118" t="s">
        <v>698</v>
      </c>
      <c r="D32" s="2117" t="s">
        <v>637</v>
      </c>
      <c r="E32" s="2121" t="s">
        <v>648</v>
      </c>
      <c r="F32" s="2121" t="s">
        <v>648</v>
      </c>
      <c r="H32" s="2086"/>
      <c r="I32" s="1740">
        <v>13</v>
      </c>
      <c r="J32" s="2087" t="s">
        <v>699</v>
      </c>
      <c r="K32" s="2083" t="s">
        <v>620</v>
      </c>
      <c r="L32" s="792"/>
      <c r="M32" s="622"/>
      <c r="N32" s="608"/>
      <c r="O32" s="1590" t="s">
        <v>659</v>
      </c>
      <c r="P32" s="608"/>
      <c r="AK32" s="1696">
        <v>46</v>
      </c>
    </row>
    <row s="4903" customFormat="1" customHeight="1" ht="48.29999999999999">
      <c r="A33" s="2119"/>
      <c r="B33" s="2118" t="s">
        <v>700</v>
      </c>
      <c r="C33" s="2118" t="s">
        <v>701</v>
      </c>
      <c r="D33" s="2117" t="s">
        <v>637</v>
      </c>
      <c r="E33" s="2121" t="s">
        <v>648</v>
      </c>
      <c r="F33" s="2121" t="s">
        <v>648</v>
      </c>
      <c r="G33" s="1701"/>
      <c r="H33" s="2086"/>
      <c r="I33" s="1740">
        <v>14</v>
      </c>
      <c r="J33" s="2099" t="s">
        <v>702</v>
      </c>
      <c r="K33" s="2088" t="s">
        <v>703</v>
      </c>
      <c r="L33" s="792"/>
      <c r="M33" s="622"/>
      <c r="N33" s="608"/>
      <c r="O33" s="1590" t="s">
        <v>659</v>
      </c>
      <c r="P33" s="608"/>
      <c r="Q33" s="1701"/>
      <c r="R33" s="1701"/>
      <c r="W33" s="1701"/>
      <c r="Z33" s="609"/>
      <c r="AF33" s="1697"/>
      <c r="AG33" s="1697"/>
      <c r="AH33" s="1697"/>
      <c r="AI33" s="1697"/>
      <c r="AJ33" s="1697"/>
      <c r="AK33" s="1431">
        <v>46</v>
      </c>
    </row>
    <row customHeight="1" ht="108">
      <c r="A34" s="2119"/>
      <c r="B34" s="2118" t="s">
        <v>704</v>
      </c>
      <c r="C34" s="2118" t="s">
        <v>705</v>
      </c>
      <c r="D34" s="2117" t="s">
        <v>647</v>
      </c>
      <c r="E34" s="2121" t="s">
        <v>648</v>
      </c>
      <c r="F34" s="2121" t="s">
        <v>648</v>
      </c>
      <c r="G34" s="1701" t="s">
        <v>608</v>
      </c>
      <c r="H34" s="2086"/>
      <c r="I34" s="2097">
        <v>15</v>
      </c>
      <c r="J34" s="2098" t="s">
        <v>706</v>
      </c>
      <c r="K34" s="2083" t="s">
        <v>325</v>
      </c>
      <c r="L34" s="450"/>
      <c r="M34" s="1229"/>
      <c r="N34" s="608"/>
      <c r="O34" s="1590" t="s">
        <v>651</v>
      </c>
      <c r="P34" s="608"/>
      <c r="AK34" s="1696">
        <v>103</v>
      </c>
    </row>
    <row s="4094"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4094"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4094"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4094"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4094"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4094"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4094"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4094"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4094"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4094"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4094"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4094"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4094"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4094"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4094"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4094"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4094"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4094"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4094"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4094"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4094"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4094"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4094"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4094"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4094"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4094"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4094"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4094"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4094"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4094"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4094"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4094"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4094"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4094"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4094"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4094"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4094"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4094"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4094"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4094"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4094"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4094"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4094"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4094"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4094"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4094"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4094"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4094"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4094"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4094"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4094"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4094"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4094"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4094"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4094"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4094"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4094"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4094"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4094"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4094"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4094"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4094"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4094"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4094"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4094"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4094"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4094"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4094"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4094"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4094"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4094"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4094"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4094"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4094"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4094"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4094"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4094"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4094"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4094"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4094"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4094"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4094"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4094"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4094"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4094"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4094"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4094"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4094"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4094"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4094"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4094"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4094"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4094"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4094"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4094"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4094"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4094"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4094"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4094"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4094"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4094"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4094"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4094"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4094"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4094"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4094"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4094"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4094"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4094"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4094"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4094"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4094"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4094"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4094"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4094"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4094"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4094"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4094"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4094"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4094"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4094"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4094"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4094"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4094"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4094"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4094"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4094"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4094"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4094"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4094"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4094"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4094"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4094"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4094"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4094"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4094"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4094"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4094"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4094"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4094"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4094"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4094"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4094"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4094"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4094"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4094"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4094"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4094"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4094"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4094"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4094"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4094"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4094"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4094"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4094"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85</v>
      </c>
      <c r="B204" s="1052" t="s">
        <v>152</v>
      </c>
      <c r="C204" s="1052" t="s">
        <v>152</v>
      </c>
      <c r="D204" s="1052" t="s">
        <v>152</v>
      </c>
      <c r="E204" s="1052" t="s">
        <v>152</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A04DC-30F6-0992-6C88-73B5C5D2D9C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921" width="10.57421875" hidden="1"/>
    <col min="5" max="5" style="5625" width="9.140625" hidden="1" customWidth="1"/>
    <col min="6" max="7" style="4903" width="9.140625" hidden="1" customWidth="1"/>
    <col min="8" max="8" style="4943" width="3.00390625" customWidth="1"/>
    <col min="9" max="9" style="4921" width="6.00390625" customWidth="1"/>
    <col min="10" max="10" style="4921" width="63.00390625" customWidth="1"/>
    <col min="11" max="11" style="4921" width="9.00390625" customWidth="1"/>
    <col min="12" max="12" style="4921" width="39.00390625" customWidth="1"/>
    <col min="13" max="13" style="4921" width="89.00390625" customWidth="1"/>
    <col min="14" max="14" style="4921" width="10.00390625" customWidth="1"/>
    <col min="15" max="16" style="4866" width="10.00390625" customWidth="1"/>
    <col min="17" max="22" style="4921" width="10.00390625" customWidth="1"/>
    <col min="23" max="23" style="4921" width="10.57421875" hidden="1"/>
  </cols>
  <sheetData>
    <row customHeight="1" ht="22.5" hidden="1">
      <c r="S1" s="320"/>
      <c r="T1" s="320"/>
      <c r="V1" s="320"/>
      <c r="W1" s="1696" t="s">
        <v>14</v>
      </c>
    </row>
    <row customHeight="1" ht="22.5" hidden="1">
      <c r="B2" s="2118" t="s">
        <v>707</v>
      </c>
      <c r="C2" s="2118" t="s">
        <v>708</v>
      </c>
      <c r="D2" s="2117" t="s">
        <v>647</v>
      </c>
      <c r="E2" s="2123">
        <f>I2-3</f>
        <v>-3</v>
      </c>
      <c r="F2" s="2123">
        <f>J2</f>
        <v>0</v>
      </c>
      <c r="H2" s="1795" t="s">
        <v>193</v>
      </c>
      <c r="I2" s="2089"/>
      <c r="J2" s="1747"/>
      <c r="K2" s="2083" t="s">
        <v>325</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709</v>
      </c>
      <c r="J5" s="2313"/>
      <c r="K5" s="2313"/>
      <c r="L5" s="2313"/>
      <c r="M5" s="331"/>
      <c r="W5" s="1696">
        <v>48</v>
      </c>
    </row>
    <row customHeight="1" ht="18">
      <c r="H6" s="441"/>
      <c r="I6" s="2314" t="str">
        <f>IF(org=0,"Не определено",org)</f>
        <v>Филиал ПАО "ОГК-2"-Ставропольская ГРЭС</v>
      </c>
      <c r="J6" s="2314"/>
      <c r="K6" s="2314"/>
      <c r="L6" s="2314"/>
      <c r="M6" s="331"/>
      <c r="W6" s="1696">
        <v>17</v>
      </c>
    </row>
    <row customHeight="1" ht="14.699999999999998">
      <c r="H7" s="441"/>
      <c r="I7" s="522"/>
      <c r="J7" s="528"/>
      <c r="K7" s="528"/>
      <c r="L7" s="817"/>
      <c r="M7" s="258"/>
      <c r="W7" s="1696">
        <v>14</v>
      </c>
    </row>
    <row customHeight="1" ht="14.699999999999998">
      <c r="H8" s="441"/>
      <c r="I8" s="2451" t="s">
        <v>319</v>
      </c>
      <c r="J8" s="2452"/>
      <c r="K8" s="2452"/>
      <c r="L8" s="2453"/>
      <c r="M8" s="2454" t="s">
        <v>320</v>
      </c>
      <c r="W8" s="1696">
        <v>14</v>
      </c>
    </row>
    <row customHeight="1" ht="35.699999999999996">
      <c r="E9" s="2116" t="s">
        <v>638</v>
      </c>
      <c r="F9" s="2116" t="s">
        <v>644</v>
      </c>
      <c r="H9" s="441"/>
      <c r="I9" s="2090" t="s">
        <v>91</v>
      </c>
      <c r="J9" s="2091" t="s">
        <v>321</v>
      </c>
      <c r="K9" s="2129" t="s">
        <v>586</v>
      </c>
      <c r="L9" s="2130" t="s">
        <v>322</v>
      </c>
      <c r="M9" s="2454"/>
      <c r="W9" s="1696">
        <v>34</v>
      </c>
    </row>
    <row customHeight="1" ht="35.699999999999996">
      <c r="B10" s="2118" t="s">
        <v>710</v>
      </c>
      <c r="C10" s="2118" t="s">
        <v>711</v>
      </c>
      <c r="D10" s="2117" t="s">
        <v>647</v>
      </c>
      <c r="E10" s="2121" t="s">
        <v>648</v>
      </c>
      <c r="F10" s="2121" t="s">
        <v>648</v>
      </c>
      <c r="H10" s="441"/>
      <c r="I10" s="2089" t="s">
        <v>112</v>
      </c>
      <c r="J10" s="1951" t="s">
        <v>712</v>
      </c>
      <c r="K10" s="2083" t="s">
        <v>325</v>
      </c>
      <c r="L10" s="883"/>
      <c r="M10" s="362" t="s">
        <v>713</v>
      </c>
      <c r="W10" s="1696">
        <v>34</v>
      </c>
    </row>
    <row customHeight="1" ht="50.25">
      <c r="B11" s="2118" t="s">
        <v>714</v>
      </c>
      <c r="C11" s="2118" t="s">
        <v>715</v>
      </c>
      <c r="D11" s="2117" t="s">
        <v>647</v>
      </c>
      <c r="E11" s="2121" t="s">
        <v>648</v>
      </c>
      <c r="F11" s="2121" t="s">
        <v>648</v>
      </c>
      <c r="H11" s="441"/>
      <c r="I11" s="2089" t="s">
        <v>113</v>
      </c>
      <c r="J11" s="1951" t="s">
        <v>716</v>
      </c>
      <c r="K11" s="2083" t="s">
        <v>325</v>
      </c>
      <c r="L11" s="883"/>
      <c r="M11" s="362" t="s">
        <v>713</v>
      </c>
      <c r="W11" s="1696">
        <v>48</v>
      </c>
    </row>
    <row customHeight="1" ht="48.29999999999999">
      <c r="B12" s="2118" t="s">
        <v>717</v>
      </c>
      <c r="C12" s="2118" t="s">
        <v>718</v>
      </c>
      <c r="D12" s="2117" t="s">
        <v>647</v>
      </c>
      <c r="E12" s="2121" t="s">
        <v>648</v>
      </c>
      <c r="F12" s="2121" t="s">
        <v>648</v>
      </c>
      <c r="H12" s="1753"/>
      <c r="I12" s="2089" t="s">
        <v>93</v>
      </c>
      <c r="J12" s="2096" t="s">
        <v>719</v>
      </c>
      <c r="K12" s="2083" t="s">
        <v>325</v>
      </c>
      <c r="L12" s="883"/>
      <c r="M12" s="362" t="s">
        <v>720</v>
      </c>
      <c r="N12" s="1689"/>
      <c r="P12" s="1696"/>
      <c r="W12" s="1696">
        <v>46</v>
      </c>
    </row>
    <row customHeight="1" ht="14.699999999999998">
      <c r="E13" s="408"/>
      <c r="H13" s="441"/>
      <c r="I13" s="412"/>
      <c r="J13" s="716" t="s">
        <v>721</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85</v>
      </c>
      <c r="B16" s="1696">
        <v>9</v>
      </c>
      <c r="C16" s="1696">
        <v>9</v>
      </c>
      <c r="D16" s="1696">
        <v>9</v>
      </c>
      <c r="E16" s="2095" t="s">
        <v>151</v>
      </c>
      <c r="F16" s="2120" t="s">
        <v>151</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2A0E9-2B97-FA0D-1232-A40A45ECBBE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298" width="10.7109375" hidden="1" customWidth="1"/>
    <col min="2" max="2" style="4903" width="16.8515625" hidden="1" customWidth="1"/>
    <col min="3" max="3" style="4423" width="5.57421875" hidden="1" customWidth="1"/>
    <col min="4" max="4" style="4921" width="3.00390625" customWidth="1"/>
    <col min="5" max="5" style="4921" width="7.00390625" customWidth="1"/>
    <col min="6" max="6" style="4921" width="56.00390625" customWidth="1"/>
    <col min="7" max="7" style="4921" width="10.00390625" customWidth="1"/>
    <col min="8" max="8" style="4921" width="40.7109375" hidden="1" customWidth="1"/>
    <col min="9" max="9" style="4921" width="40.00390625" customWidth="1"/>
    <col min="10" max="10" style="4921" width="102.00390625" customWidth="1"/>
    <col min="11" max="11" style="4903" width="9.00390625" customWidth="1"/>
    <col min="12" max="12" style="4423" width="5.00390625" customWidth="1"/>
    <col min="13" max="13" style="4423" width="3.00390625" customWidth="1"/>
    <col min="14" max="17" style="4903" width="3.00390625" customWidth="1"/>
    <col min="18" max="18" style="4423" width="10.00390625" customWidth="1"/>
    <col min="19" max="19" style="4903" width="34.00390625" customWidth="1"/>
    <col min="20" max="20" style="4903" width="9.00390625" customWidth="1"/>
    <col min="21" max="21" style="4368" width="8.00390625" customWidth="1"/>
    <col min="22" max="26" style="4903" width="8.00390625" customWidth="1"/>
    <col min="27" max="31" style="5200" width="8.00390625" customWidth="1"/>
    <col min="32" max="32" style="4921" width="10.421875" hidden="1" customWidth="1"/>
  </cols>
  <sheetData>
    <row s="4903" customFormat="1" customHeight="1" ht="22.5" hidden="1">
      <c r="A1" s="1052"/>
      <c r="C1" s="1701"/>
      <c r="D1" s="602"/>
      <c r="H1" s="1225">
        <v>4</v>
      </c>
      <c r="I1" s="1225">
        <v>4</v>
      </c>
      <c r="L1" s="1701"/>
      <c r="M1" s="1701"/>
      <c r="R1" s="1701"/>
      <c r="AF1" s="1225" t="s">
        <v>14</v>
      </c>
    </row>
    <row s="4903" customFormat="1" customHeight="1" ht="22.5" hidden="1">
      <c r="A2" s="1052"/>
      <c r="C2" s="1701"/>
      <c r="D2" s="603"/>
      <c r="E2" s="1702"/>
      <c r="F2" s="605"/>
      <c r="G2" s="1704" t="s">
        <v>572</v>
      </c>
      <c r="H2" s="606"/>
      <c r="I2" s="606"/>
      <c r="J2" s="607" t="s">
        <v>722</v>
      </c>
      <c r="K2" s="608"/>
      <c r="L2" s="1701"/>
      <c r="M2" s="1701"/>
      <c r="R2" s="1701"/>
      <c r="U2" s="609"/>
      <c r="AA2" s="1697"/>
      <c r="AB2" s="1697"/>
      <c r="AC2" s="1697"/>
      <c r="AD2" s="1697"/>
      <c r="AE2" s="1697"/>
      <c r="AF2" s="1225">
        <v>0</v>
      </c>
    </row>
    <row customHeight="1" ht="11.25" hidden="1">
      <c r="AF3" s="1696">
        <v>0</v>
      </c>
    </row>
    <row s="5200"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723</v>
      </c>
      <c r="F6" s="2372"/>
      <c r="G6" s="2372"/>
      <c r="H6" s="2372"/>
      <c r="I6" s="2372"/>
      <c r="J6" s="621"/>
      <c r="AF6" s="1696">
        <v>30</v>
      </c>
    </row>
    <row customHeight="1" ht="11.549999999999999">
      <c r="E7" s="2314" t="str">
        <f>IF(org=0,"Не определено",org)</f>
        <v>Филиал ПАО "ОГК-2"-Ставропольская ГРЭС</v>
      </c>
      <c r="F7" s="2314"/>
      <c r="G7" s="2314"/>
      <c r="H7" s="2314"/>
      <c r="I7" s="2314"/>
      <c r="AF7" s="1696">
        <v>11</v>
      </c>
    </row>
    <row customHeight="1" ht="11.549999999999999">
      <c r="E8" s="1200"/>
      <c r="F8" s="1200"/>
      <c r="G8" s="1200"/>
      <c r="H8" s="1200"/>
      <c r="I8" s="1200"/>
      <c r="AF8" s="1696">
        <v>11</v>
      </c>
    </row>
    <row s="4423" customFormat="1" customHeight="1" ht="4.2">
      <c r="A9" s="1232"/>
      <c r="D9" s="1707"/>
      <c r="H9" s="954"/>
      <c r="I9" s="954" t="s">
        <v>120</v>
      </c>
      <c r="AF9" s="1701">
        <v>4</v>
      </c>
    </row>
    <row customHeight="1" ht="11.549999999999999">
      <c r="E10" s="776"/>
      <c r="F10" s="2432" t="s">
        <v>108</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584</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585</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319</v>
      </c>
      <c r="F13" s="2435"/>
      <c r="G13" s="2435"/>
      <c r="H13" s="1616"/>
      <c r="I13" s="1616"/>
      <c r="J13" s="2192"/>
      <c r="AF13" s="1696">
        <v>11</v>
      </c>
    </row>
    <row customHeight="1" ht="24">
      <c r="E14" s="1704" t="s">
        <v>91</v>
      </c>
      <c r="F14" s="1699" t="s">
        <v>321</v>
      </c>
      <c r="G14" s="1699" t="s">
        <v>586</v>
      </c>
      <c r="H14" s="1699" t="s">
        <v>322</v>
      </c>
      <c r="I14" s="1699" t="s">
        <v>322</v>
      </c>
      <c r="J14" s="2192"/>
      <c r="AF14" s="1696">
        <v>23</v>
      </c>
    </row>
    <row customHeight="1" ht="19.95">
      <c r="D15" s="1703"/>
      <c r="E15" s="1695" t="s">
        <v>112</v>
      </c>
      <c r="F15" s="772" t="s">
        <v>724</v>
      </c>
      <c r="G15" s="1711" t="s">
        <v>572</v>
      </c>
      <c r="H15" s="622"/>
      <c r="I15" s="622"/>
      <c r="J15" s="354" t="s">
        <v>725</v>
      </c>
      <c r="K15" s="608" t="s">
        <v>650</v>
      </c>
      <c r="AF15" s="1696">
        <v>19</v>
      </c>
    </row>
    <row customHeight="1" ht="35.699999999999996">
      <c r="D16" s="1703"/>
      <c r="E16" s="1695" t="s">
        <v>113</v>
      </c>
      <c r="F16" s="772" t="s">
        <v>726</v>
      </c>
      <c r="G16" s="1711" t="s">
        <v>572</v>
      </c>
      <c r="H16" s="623">
        <f>SUM(H17,H20:H32)</f>
        <v>0</v>
      </c>
      <c r="I16" s="623">
        <f>SUM(I17,I20,I23,I26,I29:I32)</f>
        <v>0</v>
      </c>
      <c r="J16" s="354" t="s">
        <v>727</v>
      </c>
      <c r="K16" s="608" t="s">
        <v>650</v>
      </c>
      <c r="AF16" s="1696">
        <v>34</v>
      </c>
    </row>
    <row customHeight="1" ht="19.95">
      <c r="D17" s="1703"/>
      <c r="E17" s="1729" t="s">
        <v>728</v>
      </c>
      <c r="F17" s="1019" t="s">
        <v>729</v>
      </c>
      <c r="G17" s="1708" t="s">
        <v>572</v>
      </c>
      <c r="H17" s="622"/>
      <c r="I17" s="622"/>
      <c r="J17" s="354" t="s">
        <v>730</v>
      </c>
      <c r="K17" s="608"/>
      <c r="AF17" s="1696">
        <v>19</v>
      </c>
    </row>
    <row customHeight="1" ht="24">
      <c r="D18" s="1703"/>
      <c r="E18" s="1729" t="s">
        <v>731</v>
      </c>
      <c r="F18" s="1715" t="s">
        <v>732</v>
      </c>
      <c r="G18" s="1708" t="s">
        <v>572</v>
      </c>
      <c r="H18" s="622"/>
      <c r="I18" s="622"/>
      <c r="J18" s="354" t="s">
        <v>733</v>
      </c>
      <c r="K18" s="608"/>
      <c r="AF18" s="1696">
        <v>23</v>
      </c>
    </row>
    <row customHeight="1" ht="35.699999999999996">
      <c r="D19" s="1703"/>
      <c r="E19" s="1729" t="s">
        <v>734</v>
      </c>
      <c r="F19" s="1715" t="s">
        <v>735</v>
      </c>
      <c r="G19" s="1708" t="s">
        <v>572</v>
      </c>
      <c r="H19" s="622"/>
      <c r="I19" s="622"/>
      <c r="J19" s="354"/>
      <c r="K19" s="608"/>
      <c r="AF19" s="1696">
        <v>34</v>
      </c>
    </row>
    <row customHeight="1" ht="19.95">
      <c r="D20" s="1703"/>
      <c r="E20" s="1729" t="s">
        <v>326</v>
      </c>
      <c r="F20" s="1019" t="s">
        <v>736</v>
      </c>
      <c r="G20" s="1708" t="s">
        <v>572</v>
      </c>
      <c r="H20" s="622"/>
      <c r="I20" s="622"/>
      <c r="J20" s="354" t="s">
        <v>737</v>
      </c>
      <c r="K20" s="608"/>
      <c r="AF20" s="1696">
        <v>19</v>
      </c>
    </row>
    <row customHeight="1" ht="19.95">
      <c r="D21" s="1703"/>
      <c r="E21" s="1729" t="s">
        <v>738</v>
      </c>
      <c r="F21" s="1715" t="s">
        <v>739</v>
      </c>
      <c r="G21" s="1708" t="s">
        <v>572</v>
      </c>
      <c r="H21" s="622"/>
      <c r="I21" s="622"/>
      <c r="J21" s="354"/>
      <c r="K21" s="608"/>
      <c r="AF21" s="1696">
        <v>19</v>
      </c>
    </row>
    <row customHeight="1" ht="19.95">
      <c r="D22" s="1703"/>
      <c r="E22" s="1729" t="s">
        <v>740</v>
      </c>
      <c r="F22" s="1715" t="s">
        <v>741</v>
      </c>
      <c r="G22" s="1708" t="s">
        <v>572</v>
      </c>
      <c r="H22" s="622"/>
      <c r="I22" s="622"/>
      <c r="J22" s="354"/>
      <c r="K22" s="608"/>
      <c r="AF22" s="1696">
        <v>19</v>
      </c>
    </row>
    <row customHeight="1" ht="24">
      <c r="D23" s="1703"/>
      <c r="E23" s="1729" t="s">
        <v>329</v>
      </c>
      <c r="F23" s="1019" t="s">
        <v>742</v>
      </c>
      <c r="G23" s="1708" t="s">
        <v>572</v>
      </c>
      <c r="H23" s="622"/>
      <c r="I23" s="622"/>
      <c r="J23" s="354" t="s">
        <v>743</v>
      </c>
      <c r="K23" s="608"/>
      <c r="AF23" s="1696">
        <v>23</v>
      </c>
    </row>
    <row customHeight="1" ht="19.95">
      <c r="D24" s="1703"/>
      <c r="E24" s="1729" t="s">
        <v>744</v>
      </c>
      <c r="F24" s="1715" t="s">
        <v>745</v>
      </c>
      <c r="G24" s="1708" t="s">
        <v>572</v>
      </c>
      <c r="H24" s="622"/>
      <c r="I24" s="622"/>
      <c r="J24" s="354"/>
      <c r="K24" s="608"/>
      <c r="AF24" s="1696">
        <v>19</v>
      </c>
    </row>
    <row customHeight="1" ht="35.699999999999996">
      <c r="D25" s="1703"/>
      <c r="E25" s="1729" t="s">
        <v>746</v>
      </c>
      <c r="F25" s="1715" t="s">
        <v>747</v>
      </c>
      <c r="G25" s="1708" t="s">
        <v>572</v>
      </c>
      <c r="H25" s="622"/>
      <c r="I25" s="622"/>
      <c r="J25" s="354"/>
      <c r="K25" s="608"/>
      <c r="AF25" s="1696">
        <v>34</v>
      </c>
    </row>
    <row customHeight="1" ht="24">
      <c r="D26" s="1703"/>
      <c r="E26" s="1729" t="s">
        <v>748</v>
      </c>
      <c r="F26" s="1019" t="s">
        <v>749</v>
      </c>
      <c r="G26" s="1708" t="s">
        <v>572</v>
      </c>
      <c r="H26" s="622"/>
      <c r="I26" s="622"/>
      <c r="J26" s="354" t="s">
        <v>750</v>
      </c>
      <c r="K26" s="608"/>
      <c r="AF26" s="1696">
        <v>23</v>
      </c>
    </row>
    <row customHeight="1" ht="19.95">
      <c r="D27" s="1703"/>
      <c r="E27" s="1740" t="s">
        <v>751</v>
      </c>
      <c r="F27" s="1715" t="s">
        <v>752</v>
      </c>
      <c r="G27" s="1719" t="s">
        <v>572</v>
      </c>
      <c r="H27" s="1741"/>
      <c r="I27" s="1741"/>
      <c r="J27" s="354"/>
      <c r="K27" s="608"/>
      <c r="AF27" s="1696">
        <v>19</v>
      </c>
    </row>
    <row customHeight="1" ht="19.95">
      <c r="D28" s="1703"/>
      <c r="E28" s="1740" t="s">
        <v>753</v>
      </c>
      <c r="F28" s="1715" t="s">
        <v>754</v>
      </c>
      <c r="G28" s="1719" t="s">
        <v>572</v>
      </c>
      <c r="H28" s="1741"/>
      <c r="I28" s="1741"/>
      <c r="J28" s="354"/>
      <c r="K28" s="608"/>
      <c r="AF28" s="1696">
        <v>19</v>
      </c>
    </row>
    <row customHeight="1" ht="19.95">
      <c r="D29" s="1703"/>
      <c r="E29" s="1740" t="s">
        <v>755</v>
      </c>
      <c r="F29" s="1019" t="s">
        <v>756</v>
      </c>
      <c r="G29" s="1719" t="s">
        <v>572</v>
      </c>
      <c r="H29" s="1741"/>
      <c r="I29" s="1741"/>
      <c r="J29" s="354"/>
      <c r="K29" s="608"/>
      <c r="AF29" s="1696">
        <v>19</v>
      </c>
    </row>
    <row customHeight="1" ht="19.95">
      <c r="D30" s="1703"/>
      <c r="E30" s="1740" t="s">
        <v>757</v>
      </c>
      <c r="F30" s="1019" t="s">
        <v>758</v>
      </c>
      <c r="G30" s="1719" t="s">
        <v>572</v>
      </c>
      <c r="H30" s="1741"/>
      <c r="I30" s="1741"/>
      <c r="J30" s="354"/>
      <c r="K30" s="608"/>
      <c r="AF30" s="1696">
        <v>19</v>
      </c>
    </row>
    <row customHeight="1" ht="19.95">
      <c r="D31" s="1703"/>
      <c r="E31" s="1740" t="s">
        <v>759</v>
      </c>
      <c r="F31" s="1019" t="s">
        <v>760</v>
      </c>
      <c r="G31" s="1719" t="s">
        <v>572</v>
      </c>
      <c r="H31" s="1741"/>
      <c r="I31" s="1741"/>
      <c r="J31" s="354"/>
      <c r="K31" s="608"/>
      <c r="AF31" s="1696">
        <v>19</v>
      </c>
    </row>
    <row s="4903" customFormat="1" customHeight="1" ht="35.699999999999996">
      <c r="A32" s="1052"/>
      <c r="C32" s="1701"/>
      <c r="D32" s="1703"/>
      <c r="E32" s="1740" t="s">
        <v>761</v>
      </c>
      <c r="F32" s="1019" t="s">
        <v>762</v>
      </c>
      <c r="G32" s="1709" t="s">
        <v>572</v>
      </c>
      <c r="H32" s="644">
        <f>SUM(H33:H34)</f>
        <v>0</v>
      </c>
      <c r="I32" s="644">
        <f>SUM(I33:I34)</f>
        <v>0</v>
      </c>
      <c r="J32" s="354" t="s">
        <v>763</v>
      </c>
      <c r="K32" s="608"/>
      <c r="L32" s="1701"/>
      <c r="M32" s="1701"/>
      <c r="R32" s="1701"/>
      <c r="U32" s="609"/>
      <c r="AA32" s="1697"/>
      <c r="AB32" s="1697"/>
      <c r="AC32" s="1697"/>
      <c r="AD32" s="1697"/>
      <c r="AE32" s="1697"/>
      <c r="AF32" s="1225">
        <v>34</v>
      </c>
    </row>
    <row s="4423" customFormat="1" customHeight="1" ht="1.05">
      <c r="A33" s="1232"/>
      <c r="D33" s="613"/>
      <c r="E33" s="867" t="str">
        <f>E32&amp;".0"</f>
        <v>2.8.0</v>
      </c>
      <c r="F33" s="1056"/>
      <c r="G33" s="616"/>
      <c r="H33" s="1057"/>
      <c r="I33" s="1057"/>
      <c r="J33" s="1058"/>
      <c r="AF33" s="1701">
        <v>1</v>
      </c>
    </row>
    <row s="4903" customFormat="1" customHeight="1" ht="19.95">
      <c r="A34" s="1052"/>
      <c r="C34" s="1701"/>
      <c r="D34" s="1698"/>
      <c r="E34" s="635"/>
      <c r="F34" s="1731" t="s">
        <v>597</v>
      </c>
      <c r="G34" s="637"/>
      <c r="H34" s="638"/>
      <c r="I34" s="638"/>
      <c r="J34" s="366" t="s">
        <v>764</v>
      </c>
      <c r="K34" s="608"/>
      <c r="L34" s="1701"/>
      <c r="M34" s="1701"/>
      <c r="R34" s="1701"/>
      <c r="U34" s="609"/>
      <c r="AA34" s="1697"/>
      <c r="AB34" s="1697"/>
      <c r="AC34" s="1697"/>
      <c r="AD34" s="1697"/>
      <c r="AE34" s="1697"/>
      <c r="AF34" s="1225">
        <v>19</v>
      </c>
    </row>
    <row customHeight="1" ht="60">
      <c r="D35" s="1703"/>
      <c r="E35" s="1740" t="s">
        <v>765</v>
      </c>
      <c r="F35" s="1019" t="s">
        <v>766</v>
      </c>
      <c r="G35" s="1719" t="s">
        <v>572</v>
      </c>
      <c r="H35" s="1741"/>
      <c r="I35" s="1741"/>
      <c r="J35" s="354" t="s">
        <v>767</v>
      </c>
      <c r="K35" s="608"/>
      <c r="AF35" s="1696">
        <v>57</v>
      </c>
    </row>
    <row s="4903" customFormat="1" customHeight="1" ht="24">
      <c r="A36" s="1054" t="s">
        <v>598</v>
      </c>
      <c r="C36" s="1701"/>
      <c r="D36" s="1703"/>
      <c r="E36" s="1729" t="s">
        <v>93</v>
      </c>
      <c r="F36" s="772" t="s">
        <v>768</v>
      </c>
      <c r="G36" s="1708" t="s">
        <v>572</v>
      </c>
      <c r="H36" s="622"/>
      <c r="I36" s="622"/>
      <c r="J36" s="354" t="s">
        <v>769</v>
      </c>
      <c r="K36" s="608"/>
      <c r="L36" s="1701"/>
      <c r="M36" s="1701"/>
      <c r="R36" s="1701"/>
      <c r="U36" s="609"/>
      <c r="AA36" s="1697"/>
      <c r="AB36" s="1697"/>
      <c r="AC36" s="1697"/>
      <c r="AD36" s="1697"/>
      <c r="AE36" s="1697"/>
      <c r="AF36" s="1225">
        <v>23</v>
      </c>
    </row>
    <row s="4903" customFormat="1" customHeight="1" ht="35.699999999999996">
      <c r="A37" s="1054"/>
      <c r="C37" s="1701"/>
      <c r="D37" s="1703"/>
      <c r="E37" s="1729" t="s">
        <v>343</v>
      </c>
      <c r="F37" s="1019" t="s">
        <v>770</v>
      </c>
      <c r="G37" s="1719"/>
      <c r="H37" s="622"/>
      <c r="I37" s="622"/>
      <c r="J37" s="354"/>
      <c r="K37" s="608"/>
      <c r="L37" s="1701"/>
      <c r="M37" s="1701"/>
      <c r="R37" s="1701"/>
      <c r="U37" s="609"/>
      <c r="AA37" s="1697"/>
      <c r="AB37" s="1697"/>
      <c r="AC37" s="1697"/>
      <c r="AD37" s="1697"/>
      <c r="AE37" s="1697"/>
      <c r="AF37" s="1225">
        <v>34</v>
      </c>
    </row>
    <row s="4903" customFormat="1" customHeight="1" ht="19.95">
      <c r="A38" s="1052"/>
      <c r="C38" s="1701"/>
      <c r="D38" s="640"/>
      <c r="E38" s="1729" t="s">
        <v>94</v>
      </c>
      <c r="F38" s="772" t="s">
        <v>771</v>
      </c>
      <c r="G38" s="1708" t="s">
        <v>572</v>
      </c>
      <c r="H38" s="622"/>
      <c r="I38" s="622"/>
      <c r="J38" s="354" t="s">
        <v>772</v>
      </c>
      <c r="K38" s="608"/>
      <c r="L38" s="1701"/>
      <c r="M38" s="1701"/>
      <c r="R38" s="1701"/>
      <c r="U38" s="609"/>
      <c r="AA38" s="1697"/>
      <c r="AB38" s="1697"/>
      <c r="AC38" s="1697"/>
      <c r="AD38" s="1697"/>
      <c r="AE38" s="1697"/>
      <c r="AF38" s="1225">
        <v>19</v>
      </c>
    </row>
    <row s="4903" customFormat="1" customHeight="1" ht="24">
      <c r="A39" s="1052"/>
      <c r="C39" s="1701"/>
      <c r="D39" s="640"/>
      <c r="E39" s="1729" t="s">
        <v>773</v>
      </c>
      <c r="F39" s="1019" t="s">
        <v>774</v>
      </c>
      <c r="G39" s="1719" t="s">
        <v>572</v>
      </c>
      <c r="H39" s="622"/>
      <c r="I39" s="622"/>
      <c r="J39" s="354" t="s">
        <v>775</v>
      </c>
      <c r="K39" s="608"/>
      <c r="L39" s="1701"/>
      <c r="M39" s="1701"/>
      <c r="R39" s="1701"/>
      <c r="U39" s="609"/>
      <c r="AA39" s="1697"/>
      <c r="AB39" s="1697"/>
      <c r="AC39" s="1697"/>
      <c r="AD39" s="1697"/>
      <c r="AE39" s="1697"/>
      <c r="AF39" s="1225">
        <v>23</v>
      </c>
    </row>
    <row s="4903" customFormat="1" customHeight="1" ht="24">
      <c r="A40" s="1052"/>
      <c r="C40" s="1701"/>
      <c r="D40" s="1703"/>
      <c r="E40" s="1729" t="s">
        <v>776</v>
      </c>
      <c r="F40" s="1715" t="s">
        <v>777</v>
      </c>
      <c r="G40" s="1708" t="s">
        <v>572</v>
      </c>
      <c r="H40" s="622"/>
      <c r="I40" s="622"/>
      <c r="J40" s="354" t="s">
        <v>778</v>
      </c>
      <c r="K40" s="608"/>
      <c r="L40" s="1701"/>
      <c r="M40" s="1701"/>
      <c r="R40" s="1701"/>
      <c r="U40" s="609"/>
      <c r="AA40" s="1697"/>
      <c r="AB40" s="1697"/>
      <c r="AC40" s="1697"/>
      <c r="AD40" s="1697"/>
      <c r="AE40" s="1697"/>
      <c r="AF40" s="1225">
        <v>23</v>
      </c>
    </row>
    <row s="4903" customFormat="1" customHeight="1" ht="24">
      <c r="A41" s="1052"/>
      <c r="C41" s="1701"/>
      <c r="D41" s="1703"/>
      <c r="E41" s="1729" t="s">
        <v>779</v>
      </c>
      <c r="F41" s="1715" t="s">
        <v>780</v>
      </c>
      <c r="G41" s="1708" t="s">
        <v>572</v>
      </c>
      <c r="H41" s="622"/>
      <c r="I41" s="622"/>
      <c r="J41" s="354" t="s">
        <v>781</v>
      </c>
      <c r="K41" s="608"/>
      <c r="L41" s="1701"/>
      <c r="M41" s="1701"/>
      <c r="R41" s="1701"/>
      <c r="U41" s="609"/>
      <c r="AA41" s="1697"/>
      <c r="AB41" s="1697"/>
      <c r="AC41" s="1697"/>
      <c r="AD41" s="1697"/>
      <c r="AE41" s="1697"/>
      <c r="AF41" s="1225">
        <v>23</v>
      </c>
    </row>
    <row s="4903" customFormat="1" customHeight="1" ht="24">
      <c r="A42" s="1052"/>
      <c r="C42" s="1701"/>
      <c r="D42" s="1703"/>
      <c r="E42" s="1729" t="s">
        <v>782</v>
      </c>
      <c r="F42" s="1715" t="s">
        <v>783</v>
      </c>
      <c r="G42" s="1708" t="s">
        <v>572</v>
      </c>
      <c r="H42" s="622"/>
      <c r="I42" s="622"/>
      <c r="J42" s="354" t="s">
        <v>784</v>
      </c>
      <c r="K42" s="608"/>
      <c r="L42" s="1701"/>
      <c r="M42" s="1701"/>
      <c r="R42" s="1701"/>
      <c r="U42" s="609"/>
      <c r="AA42" s="1697"/>
      <c r="AB42" s="1697"/>
      <c r="AC42" s="1697"/>
      <c r="AD42" s="1697"/>
      <c r="AE42" s="1697"/>
      <c r="AF42" s="1225">
        <v>23</v>
      </c>
    </row>
    <row s="4903" customFormat="1" customHeight="1" ht="35.699999999999996">
      <c r="A43" s="1052"/>
      <c r="C43" s="1701" t="s">
        <v>608</v>
      </c>
      <c r="D43" s="1703"/>
      <c r="E43" s="1729" t="s">
        <v>114</v>
      </c>
      <c r="F43" s="772" t="s">
        <v>649</v>
      </c>
      <c r="G43" s="1711" t="s">
        <v>785</v>
      </c>
      <c r="H43" s="466"/>
      <c r="I43" s="466"/>
      <c r="J43" s="354" t="s">
        <v>786</v>
      </c>
      <c r="K43" s="608"/>
      <c r="L43" s="1701"/>
      <c r="M43" s="1701"/>
      <c r="R43" s="1701"/>
      <c r="U43" s="609"/>
      <c r="AA43" s="1697"/>
      <c r="AB43" s="1697"/>
      <c r="AC43" s="1697"/>
      <c r="AD43" s="1697"/>
      <c r="AE43" s="1697"/>
      <c r="AF43" s="1225">
        <v>34</v>
      </c>
    </row>
    <row s="4903" customFormat="1" customHeight="1" ht="35.699999999999996">
      <c r="A44" s="1052"/>
      <c r="C44" s="1701"/>
      <c r="D44" s="1703"/>
      <c r="E44" s="1729" t="s">
        <v>95</v>
      </c>
      <c r="F44" s="772" t="s">
        <v>787</v>
      </c>
      <c r="G44" s="1708" t="s">
        <v>788</v>
      </c>
      <c r="H44" s="610"/>
      <c r="I44" s="610"/>
      <c r="J44" s="354" t="s">
        <v>789</v>
      </c>
      <c r="K44" s="608"/>
      <c r="L44" s="1701"/>
      <c r="M44" s="1701"/>
      <c r="R44" s="1701"/>
      <c r="U44" s="609"/>
      <c r="AA44" s="1697"/>
      <c r="AB44" s="1697"/>
      <c r="AC44" s="1697"/>
      <c r="AD44" s="1697"/>
      <c r="AE44" s="1697"/>
      <c r="AF44" s="1225">
        <v>34</v>
      </c>
    </row>
    <row s="4903" customFormat="1" customHeight="1" ht="24">
      <c r="A45" s="1052"/>
      <c r="C45" s="1701"/>
      <c r="D45" s="1703"/>
      <c r="E45" s="1729" t="s">
        <v>96</v>
      </c>
      <c r="F45" s="772" t="s">
        <v>790</v>
      </c>
      <c r="G45" s="1719" t="s">
        <v>791</v>
      </c>
      <c r="H45" s="610"/>
      <c r="I45" s="610"/>
      <c r="J45" s="354" t="s">
        <v>792</v>
      </c>
      <c r="K45" s="608"/>
      <c r="L45" s="1701"/>
      <c r="M45" s="1701"/>
      <c r="R45" s="1701"/>
      <c r="U45" s="609"/>
      <c r="AA45" s="1697"/>
      <c r="AB45" s="1697"/>
      <c r="AC45" s="1697"/>
      <c r="AD45" s="1697"/>
      <c r="AE45" s="1697"/>
      <c r="AF45" s="1225">
        <v>23</v>
      </c>
    </row>
    <row s="4903" customFormat="1" customHeight="1" ht="19.95">
      <c r="A46" s="1052"/>
      <c r="C46" s="1701"/>
      <c r="D46" s="1703"/>
      <c r="E46" s="1729" t="s">
        <v>115</v>
      </c>
      <c r="F46" s="772" t="s">
        <v>793</v>
      </c>
      <c r="G46" s="1708" t="s">
        <v>610</v>
      </c>
      <c r="H46" s="642"/>
      <c r="I46" s="642"/>
      <c r="J46" s="354"/>
      <c r="K46" s="608"/>
      <c r="L46" s="1701"/>
      <c r="M46" s="1701"/>
      <c r="R46" s="1701"/>
      <c r="U46" s="609"/>
      <c r="AA46" s="1697"/>
      <c r="AB46" s="1697"/>
      <c r="AC46" s="1697"/>
      <c r="AD46" s="1697"/>
      <c r="AE46" s="1697"/>
      <c r="AF46" s="1225">
        <v>19</v>
      </c>
    </row>
    <row customHeight="1" ht="11.549999999999999">
      <c r="D47" s="1703"/>
      <c r="AF47" s="1696">
        <v>11</v>
      </c>
    </row>
    <row s="4094"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4094"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4094"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4094"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4094"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4094"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4094"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4094"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4094"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4094"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4094"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4094"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4094"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4094"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4094"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4094"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4094"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4094"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4094"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4094"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4094"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4094"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4094"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4094"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4094"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4094"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4094"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4094"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4094"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4094"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4094"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4094"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4094"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4094"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4094"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4094"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4094"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4094"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4094"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4094"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4094"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4094"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4094"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4094"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4094"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4094"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4094"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4094"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4094"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4094"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4094"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4094"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4094"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4094"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4094"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4094"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4094"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4094"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4094"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4094"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4094"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4094"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4094"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4094"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4094"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4094"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4094"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4094"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4094"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4094"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4094"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4094"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4094"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4094"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4094"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4094"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4094"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4094"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4094"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4094"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4094"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4094"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4094"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4094"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4094"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4094"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4094"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4094"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4094"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4094"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4094"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4094"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4094"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4094"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4094"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4094"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4094"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4094"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4094"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4094"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4094"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4094"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4094"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4094"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4094"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4094"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4094"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4094"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4094"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4094"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4094"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4094"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4094"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4094"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4094"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4094"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4094"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4094"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4094"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4094"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4094"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4094"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4094"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4094"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4094"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4094"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4094"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4094"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4094"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4094"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4094"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4094"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4094"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4094"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4094"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4094"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4094"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4094"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4094"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4094"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4094"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4094"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4094"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4094"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4094"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4094"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4094"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4094"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4094"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4094"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4094"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4094"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4094"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4094"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4094"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85</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9F1AB-4B81-494F-5AA8-B0332739995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4298" width="10.7109375" hidden="1" customWidth="1"/>
    <col min="2" max="2" style="4903" width="16.8515625" hidden="1" customWidth="1"/>
    <col min="3" max="3" style="4423" width="5.57421875" hidden="1" customWidth="1"/>
    <col min="4" max="4" style="4921" width="3.00390625" customWidth="1"/>
    <col min="5" max="5" style="4921" width="7.00390625" customWidth="1"/>
    <col min="6" max="6" style="4921" width="54.00390625" customWidth="1"/>
    <col min="7" max="7" style="4921" width="10.00390625" customWidth="1"/>
    <col min="8" max="8" style="4921" width="40.7109375" hidden="1" customWidth="1"/>
    <col min="9" max="9" style="4921" width="40.00390625" customWidth="1"/>
    <col min="10" max="10" style="4921" width="102.00390625" customWidth="1"/>
    <col min="11" max="11" style="4903" width="9.00390625" customWidth="1"/>
    <col min="12" max="12" style="4423" width="5.00390625" customWidth="1"/>
    <col min="13" max="13" style="4423" width="3.00390625" customWidth="1"/>
    <col min="14" max="17" style="4903" width="3.00390625" customWidth="1"/>
    <col min="18" max="18" style="4423" width="10.00390625" customWidth="1"/>
    <col min="19" max="19" style="4903" width="34.00390625" customWidth="1"/>
    <col min="20" max="20" style="4903" width="9.00390625" customWidth="1"/>
    <col min="21" max="21" style="4368" width="8.00390625" customWidth="1"/>
    <col min="22" max="26" style="4903" width="8.00390625" customWidth="1"/>
    <col min="27" max="31" style="5200" width="8.00390625" customWidth="1"/>
    <col min="32" max="32" style="4921" width="9.140625" hidden="1"/>
  </cols>
  <sheetData>
    <row s="4903" customFormat="1" customHeight="1" ht="22.5" hidden="1">
      <c r="A1" s="1052"/>
      <c r="C1" s="1701"/>
      <c r="D1" s="602"/>
      <c r="H1" s="1225">
        <v>4</v>
      </c>
      <c r="I1" s="1225">
        <v>4</v>
      </c>
      <c r="L1" s="1701"/>
      <c r="M1" s="1701"/>
      <c r="R1" s="1701"/>
      <c r="AF1" s="1225" t="s">
        <v>14</v>
      </c>
    </row>
    <row s="4903" customFormat="1" customHeight="1" ht="22.5" hidden="1">
      <c r="A2" s="1052"/>
      <c r="C2" s="1701"/>
      <c r="D2" s="603"/>
      <c r="E2" s="1723"/>
      <c r="F2" s="605"/>
      <c r="G2" s="1722" t="s">
        <v>572</v>
      </c>
      <c r="H2" s="606"/>
      <c r="I2" s="606"/>
      <c r="J2" s="607" t="s">
        <v>575</v>
      </c>
      <c r="K2" s="608"/>
      <c r="L2" s="1701"/>
      <c r="M2" s="1701"/>
      <c r="R2" s="1701"/>
      <c r="U2" s="609"/>
      <c r="AA2" s="1697"/>
      <c r="AB2" s="1697"/>
      <c r="AC2" s="1697"/>
      <c r="AD2" s="1697"/>
      <c r="AE2" s="1697"/>
      <c r="AF2" s="1225">
        <v>0</v>
      </c>
    </row>
    <row customHeight="1" ht="11.25" hidden="1">
      <c r="AF3" s="1696">
        <v>0</v>
      </c>
    </row>
    <row s="5200"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794</v>
      </c>
      <c r="F6" s="2313"/>
      <c r="G6" s="2313"/>
      <c r="H6" s="2313"/>
      <c r="I6" s="2313"/>
      <c r="J6" s="621"/>
      <c r="AF6" s="1696">
        <v>32</v>
      </c>
    </row>
    <row customHeight="1" ht="25.2">
      <c r="E7" s="2314" t="str">
        <f>IF(org=0,"Не определено",org)</f>
        <v>Филиал ПАО "ОГК-2"-Ставропольская ГРЭС</v>
      </c>
      <c r="F7" s="2314"/>
      <c r="G7" s="2314"/>
      <c r="H7" s="2314"/>
      <c r="I7" s="2314"/>
      <c r="AF7" s="1696">
        <v>24</v>
      </c>
    </row>
    <row customHeight="1" ht="11.549999999999999">
      <c r="E8" s="1200"/>
      <c r="F8" s="1200"/>
      <c r="G8" s="1200"/>
      <c r="H8" s="1200"/>
      <c r="I8" s="1200"/>
      <c r="AF8" s="1696">
        <v>11</v>
      </c>
    </row>
    <row s="4423" customFormat="1" customHeight="1" ht="1.05">
      <c r="A9" s="1232"/>
      <c r="D9" s="1707"/>
      <c r="H9" s="954"/>
      <c r="I9" s="954" t="s">
        <v>120</v>
      </c>
      <c r="AF9" s="1701">
        <v>1</v>
      </c>
    </row>
    <row customHeight="1" ht="11.549999999999999">
      <c r="E10" s="776"/>
      <c r="F10" s="2432" t="s">
        <v>108</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584</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585</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319</v>
      </c>
      <c r="F13" s="2435"/>
      <c r="G13" s="2435"/>
      <c r="H13" s="1721"/>
      <c r="I13" s="1721"/>
      <c r="J13" s="2192"/>
      <c r="AF13" s="1696">
        <v>11</v>
      </c>
    </row>
    <row customHeight="1" ht="24">
      <c r="E14" s="1722" t="s">
        <v>91</v>
      </c>
      <c r="F14" s="1725" t="s">
        <v>321</v>
      </c>
      <c r="G14" s="1725" t="s">
        <v>586</v>
      </c>
      <c r="H14" s="1725" t="s">
        <v>322</v>
      </c>
      <c r="I14" s="1725" t="s">
        <v>322</v>
      </c>
      <c r="J14" s="2192"/>
      <c r="AF14" s="1696">
        <v>23</v>
      </c>
    </row>
    <row customHeight="1" ht="19.95">
      <c r="D15" s="1703"/>
      <c r="E15" s="1695" t="s">
        <v>112</v>
      </c>
      <c r="F15" s="772" t="s">
        <v>795</v>
      </c>
      <c r="G15" s="1722" t="s">
        <v>572</v>
      </c>
      <c r="H15" s="622"/>
      <c r="I15" s="622"/>
      <c r="J15" s="354" t="s">
        <v>796</v>
      </c>
      <c r="K15" s="608" t="s">
        <v>650</v>
      </c>
      <c r="AF15" s="1696">
        <v>19</v>
      </c>
    </row>
    <row customHeight="1" ht="24">
      <c r="D16" s="1703"/>
      <c r="E16" s="1695" t="s">
        <v>113</v>
      </c>
      <c r="F16" s="1730" t="s">
        <v>797</v>
      </c>
      <c r="G16" s="1722" t="s">
        <v>572</v>
      </c>
      <c r="H16" s="623">
        <f>SUM(H17,H20:H27)</f>
        <v>0</v>
      </c>
      <c r="I16" s="623">
        <f>SUM(I17,I20:I27)</f>
        <v>0</v>
      </c>
      <c r="J16" s="354" t="s">
        <v>798</v>
      </c>
      <c r="K16" s="608" t="s">
        <v>650</v>
      </c>
      <c r="AF16" s="1696">
        <v>23</v>
      </c>
    </row>
    <row customHeight="1" ht="35.699999999999996">
      <c r="D17" s="1703"/>
      <c r="E17" s="1729" t="s">
        <v>728</v>
      </c>
      <c r="F17" s="1732" t="s">
        <v>799</v>
      </c>
      <c r="G17" s="1719" t="s">
        <v>572</v>
      </c>
      <c r="H17" s="622"/>
      <c r="I17" s="622"/>
      <c r="J17" s="354" t="s">
        <v>800</v>
      </c>
      <c r="K17" s="608"/>
      <c r="AF17" s="1696">
        <v>34</v>
      </c>
    </row>
    <row customHeight="1" ht="19.95">
      <c r="D18" s="1703"/>
      <c r="E18" s="1729" t="s">
        <v>731</v>
      </c>
      <c r="F18" s="1733" t="s">
        <v>801</v>
      </c>
      <c r="G18" s="1719" t="s">
        <v>572</v>
      </c>
      <c r="H18" s="622"/>
      <c r="I18" s="622"/>
      <c r="J18" s="354"/>
      <c r="K18" s="608"/>
      <c r="AF18" s="1696">
        <v>19</v>
      </c>
    </row>
    <row customHeight="1" ht="24">
      <c r="D19" s="1703"/>
      <c r="E19" s="1729" t="s">
        <v>734</v>
      </c>
      <c r="F19" s="1733" t="s">
        <v>802</v>
      </c>
      <c r="G19" s="1719" t="s">
        <v>572</v>
      </c>
      <c r="H19" s="622"/>
      <c r="I19" s="622"/>
      <c r="J19" s="354"/>
      <c r="K19" s="608"/>
      <c r="AF19" s="1696">
        <v>23</v>
      </c>
    </row>
    <row customHeight="1" ht="35.699999999999996">
      <c r="D20" s="1703"/>
      <c r="E20" s="1729" t="s">
        <v>326</v>
      </c>
      <c r="F20" s="1732" t="s">
        <v>803</v>
      </c>
      <c r="G20" s="1719" t="s">
        <v>572</v>
      </c>
      <c r="H20" s="622"/>
      <c r="I20" s="622"/>
      <c r="J20" s="354"/>
      <c r="K20" s="608"/>
      <c r="AF20" s="1696">
        <v>34</v>
      </c>
    </row>
    <row customHeight="1" ht="48.29999999999999">
      <c r="D21" s="1703"/>
      <c r="E21" s="1729" t="s">
        <v>329</v>
      </c>
      <c r="F21" s="1732" t="s">
        <v>804</v>
      </c>
      <c r="G21" s="1719" t="s">
        <v>572</v>
      </c>
      <c r="H21" s="622"/>
      <c r="I21" s="622"/>
      <c r="J21" s="354"/>
      <c r="K21" s="608"/>
      <c r="AF21" s="1696">
        <v>46</v>
      </c>
    </row>
    <row customHeight="1" ht="60">
      <c r="D22" s="1703"/>
      <c r="E22" s="1729" t="s">
        <v>748</v>
      </c>
      <c r="F22" s="1732" t="s">
        <v>805</v>
      </c>
      <c r="G22" s="1719" t="s">
        <v>572</v>
      </c>
      <c r="H22" s="622"/>
      <c r="I22" s="622"/>
      <c r="J22" s="354"/>
      <c r="K22" s="608"/>
      <c r="AF22" s="1696">
        <v>57</v>
      </c>
    </row>
    <row customHeight="1" ht="35.699999999999996">
      <c r="D23" s="1703"/>
      <c r="E23" s="1729" t="s">
        <v>755</v>
      </c>
      <c r="F23" s="1732" t="s">
        <v>806</v>
      </c>
      <c r="G23" s="1719" t="s">
        <v>572</v>
      </c>
      <c r="H23" s="622"/>
      <c r="I23" s="622"/>
      <c r="J23" s="354"/>
      <c r="K23" s="608"/>
      <c r="AF23" s="1696">
        <v>34</v>
      </c>
    </row>
    <row customHeight="1" ht="35.699999999999996">
      <c r="D24" s="1703"/>
      <c r="E24" s="1729" t="s">
        <v>757</v>
      </c>
      <c r="F24" s="1732" t="s">
        <v>807</v>
      </c>
      <c r="G24" s="1719" t="s">
        <v>572</v>
      </c>
      <c r="H24" s="622"/>
      <c r="I24" s="622"/>
      <c r="J24" s="354"/>
      <c r="K24" s="608"/>
      <c r="AF24" s="1696">
        <v>34</v>
      </c>
    </row>
    <row customHeight="1" ht="24">
      <c r="D25" s="1703"/>
      <c r="E25" s="1729" t="s">
        <v>759</v>
      </c>
      <c r="F25" s="1732" t="s">
        <v>808</v>
      </c>
      <c r="G25" s="1719" t="s">
        <v>572</v>
      </c>
      <c r="H25" s="622"/>
      <c r="I25" s="622"/>
      <c r="J25" s="354"/>
      <c r="K25" s="608"/>
      <c r="AF25" s="1696">
        <v>23</v>
      </c>
    </row>
    <row customHeight="1" ht="76.5">
      <c r="D26" s="1703"/>
      <c r="E26" s="1729" t="s">
        <v>761</v>
      </c>
      <c r="F26" s="1732" t="s">
        <v>809</v>
      </c>
      <c r="G26" s="1719" t="s">
        <v>572</v>
      </c>
      <c r="H26" s="622"/>
      <c r="I26" s="622"/>
      <c r="J26" s="354"/>
      <c r="K26" s="608"/>
      <c r="AF26" s="1696">
        <v>73</v>
      </c>
    </row>
    <row s="4903" customFormat="1" customHeight="1" ht="35.699999999999996">
      <c r="A27" s="1052"/>
      <c r="C27" s="1701"/>
      <c r="D27" s="1703"/>
      <c r="E27" s="1694" t="s">
        <v>765</v>
      </c>
      <c r="F27" s="1693" t="s">
        <v>810</v>
      </c>
      <c r="G27" s="1720" t="s">
        <v>572</v>
      </c>
      <c r="H27" s="644">
        <f>SUM(H28:H29)</f>
        <v>0</v>
      </c>
      <c r="I27" s="644">
        <f>SUM(I28:I29)</f>
        <v>0</v>
      </c>
      <c r="J27" s="354" t="s">
        <v>763</v>
      </c>
      <c r="K27" s="608"/>
      <c r="L27" s="1701"/>
      <c r="M27" s="1701"/>
      <c r="R27" s="1701"/>
      <c r="U27" s="609"/>
      <c r="AA27" s="1697"/>
      <c r="AB27" s="1697"/>
      <c r="AC27" s="1697"/>
      <c r="AD27" s="1697"/>
      <c r="AE27" s="1697"/>
      <c r="AF27" s="1225">
        <v>34</v>
      </c>
    </row>
    <row s="4423" customFormat="1" customHeight="1" ht="1.05">
      <c r="A28" s="1232"/>
      <c r="D28" s="613"/>
      <c r="E28" s="867" t="str">
        <f>E27&amp;".0"</f>
        <v>2.9.0</v>
      </c>
      <c r="F28" s="1056"/>
      <c r="G28" s="616"/>
      <c r="H28" s="1057"/>
      <c r="I28" s="1057"/>
      <c r="J28" s="1058"/>
      <c r="AF28" s="1701">
        <v>1</v>
      </c>
    </row>
    <row s="4903" customFormat="1" customHeight="1" ht="19.95">
      <c r="A29" s="1052"/>
      <c r="C29" s="1701"/>
      <c r="D29" s="1698"/>
      <c r="E29" s="635"/>
      <c r="F29" s="1731" t="s">
        <v>597</v>
      </c>
      <c r="G29" s="637"/>
      <c r="H29" s="638"/>
      <c r="I29" s="638"/>
      <c r="J29" s="366" t="s">
        <v>764</v>
      </c>
      <c r="K29" s="608"/>
      <c r="L29" s="1701"/>
      <c r="M29" s="1701"/>
      <c r="R29" s="1701"/>
      <c r="U29" s="609"/>
      <c r="AA29" s="1697"/>
      <c r="AB29" s="1697"/>
      <c r="AC29" s="1697"/>
      <c r="AD29" s="1697"/>
      <c r="AE29" s="1697"/>
      <c r="AF29" s="1225">
        <v>19</v>
      </c>
    </row>
    <row s="4903" customFormat="1" customHeight="1" ht="24">
      <c r="A30" s="1052"/>
      <c r="C30" s="1701"/>
      <c r="D30" s="1703"/>
      <c r="E30" s="1729" t="s">
        <v>93</v>
      </c>
      <c r="F30" s="1726" t="s">
        <v>811</v>
      </c>
      <c r="G30" s="1719" t="s">
        <v>572</v>
      </c>
      <c r="H30" s="622"/>
      <c r="I30" s="622"/>
      <c r="J30" s="354"/>
      <c r="K30" s="608"/>
      <c r="L30" s="1701"/>
      <c r="M30" s="1701"/>
      <c r="R30" s="1701"/>
      <c r="U30" s="609"/>
      <c r="AA30" s="1697"/>
      <c r="AB30" s="1697"/>
      <c r="AC30" s="1697"/>
      <c r="AD30" s="1697"/>
      <c r="AE30" s="1697"/>
      <c r="AF30" s="1225">
        <v>23</v>
      </c>
    </row>
    <row s="4903" customFormat="1" customHeight="1" ht="35.699999999999996">
      <c r="A31" s="1052"/>
      <c r="C31" s="1701"/>
      <c r="D31" s="640"/>
      <c r="E31" s="1729" t="s">
        <v>94</v>
      </c>
      <c r="F31" s="1726" t="s">
        <v>812</v>
      </c>
      <c r="G31" s="1719" t="s">
        <v>572</v>
      </c>
      <c r="H31" s="622"/>
      <c r="I31" s="622"/>
      <c r="J31" s="354" t="s">
        <v>813</v>
      </c>
      <c r="K31" s="608"/>
      <c r="L31" s="1701"/>
      <c r="M31" s="1701"/>
      <c r="R31" s="1701"/>
      <c r="U31" s="609"/>
      <c r="AA31" s="1697"/>
      <c r="AB31" s="1697"/>
      <c r="AC31" s="1697"/>
      <c r="AD31" s="1697"/>
      <c r="AE31" s="1697"/>
      <c r="AF31" s="1225">
        <v>34</v>
      </c>
    </row>
    <row s="4903" customFormat="1" customHeight="1" ht="24">
      <c r="A32" s="1052"/>
      <c r="C32" s="1701"/>
      <c r="D32" s="1703"/>
      <c r="E32" s="1729" t="s">
        <v>773</v>
      </c>
      <c r="F32" s="755" t="s">
        <v>777</v>
      </c>
      <c r="G32" s="1719" t="s">
        <v>572</v>
      </c>
      <c r="H32" s="622"/>
      <c r="I32" s="622"/>
      <c r="J32" s="354" t="s">
        <v>814</v>
      </c>
      <c r="K32" s="608"/>
      <c r="L32" s="1701"/>
      <c r="M32" s="1701"/>
      <c r="R32" s="1701"/>
      <c r="U32" s="609"/>
      <c r="AA32" s="1697"/>
      <c r="AB32" s="1697"/>
      <c r="AC32" s="1697"/>
      <c r="AD32" s="1697"/>
      <c r="AE32" s="1697"/>
      <c r="AF32" s="1225">
        <v>23</v>
      </c>
    </row>
    <row s="4903" customFormat="1" customHeight="1" ht="24">
      <c r="A33" s="1052"/>
      <c r="C33" s="1701"/>
      <c r="D33" s="1703"/>
      <c r="E33" s="1729" t="s">
        <v>815</v>
      </c>
      <c r="F33" s="755" t="s">
        <v>816</v>
      </c>
      <c r="G33" s="1719" t="s">
        <v>572</v>
      </c>
      <c r="H33" s="622"/>
      <c r="I33" s="622"/>
      <c r="J33" s="354" t="s">
        <v>817</v>
      </c>
      <c r="K33" s="608"/>
      <c r="L33" s="1701"/>
      <c r="M33" s="1701"/>
      <c r="R33" s="1701"/>
      <c r="U33" s="609"/>
      <c r="AA33" s="1697"/>
      <c r="AB33" s="1697"/>
      <c r="AC33" s="1697"/>
      <c r="AD33" s="1697"/>
      <c r="AE33" s="1697"/>
      <c r="AF33" s="1225">
        <v>23</v>
      </c>
    </row>
    <row s="4903" customFormat="1" customHeight="1" ht="24">
      <c r="A34" s="1052"/>
      <c r="C34" s="1701"/>
      <c r="D34" s="1703"/>
      <c r="E34" s="1729" t="s">
        <v>818</v>
      </c>
      <c r="F34" s="755" t="s">
        <v>783</v>
      </c>
      <c r="G34" s="1719" t="s">
        <v>572</v>
      </c>
      <c r="H34" s="622"/>
      <c r="I34" s="622"/>
      <c r="J34" s="354" t="s">
        <v>819</v>
      </c>
      <c r="K34" s="608"/>
      <c r="L34" s="1701"/>
      <c r="M34" s="1701"/>
      <c r="R34" s="1701"/>
      <c r="U34" s="609"/>
      <c r="AA34" s="1697"/>
      <c r="AB34" s="1697"/>
      <c r="AC34" s="1697"/>
      <c r="AD34" s="1697"/>
      <c r="AE34" s="1697"/>
      <c r="AF34" s="1225">
        <v>23</v>
      </c>
    </row>
    <row s="4903" customFormat="1" customHeight="1" ht="35.699999999999996">
      <c r="A35" s="1052"/>
      <c r="C35" s="1701" t="s">
        <v>608</v>
      </c>
      <c r="D35" s="1703"/>
      <c r="E35" s="1729" t="s">
        <v>114</v>
      </c>
      <c r="F35" s="1726" t="s">
        <v>649</v>
      </c>
      <c r="G35" s="1722" t="s">
        <v>325</v>
      </c>
      <c r="H35" s="466"/>
      <c r="I35" s="466"/>
      <c r="J35" s="354" t="s">
        <v>820</v>
      </c>
      <c r="K35" s="608"/>
      <c r="L35" s="1701"/>
      <c r="M35" s="1701"/>
      <c r="R35" s="1701"/>
      <c r="U35" s="609"/>
      <c r="AA35" s="1697"/>
      <c r="AB35" s="1697"/>
      <c r="AC35" s="1697"/>
      <c r="AD35" s="1697"/>
      <c r="AE35" s="1697"/>
      <c r="AF35" s="1225">
        <v>34</v>
      </c>
    </row>
    <row s="4903" customFormat="1" customHeight="1" ht="35.699999999999996">
      <c r="A36" s="1052"/>
      <c r="C36" s="1701"/>
      <c r="D36" s="1703"/>
      <c r="E36" s="1729" t="s">
        <v>95</v>
      </c>
      <c r="F36" s="1726" t="s">
        <v>821</v>
      </c>
      <c r="G36" s="1719" t="s">
        <v>788</v>
      </c>
      <c r="H36" s="610"/>
      <c r="I36" s="610"/>
      <c r="J36" s="354" t="s">
        <v>789</v>
      </c>
      <c r="K36" s="608"/>
      <c r="L36" s="1701"/>
      <c r="M36" s="1701"/>
      <c r="R36" s="1701"/>
      <c r="U36" s="609"/>
      <c r="AA36" s="1697"/>
      <c r="AB36" s="1697"/>
      <c r="AC36" s="1697"/>
      <c r="AD36" s="1697"/>
      <c r="AE36" s="1697"/>
      <c r="AF36" s="1225">
        <v>34</v>
      </c>
    </row>
    <row s="4903" customFormat="1" customHeight="1" ht="24">
      <c r="A37" s="1052"/>
      <c r="C37" s="1701"/>
      <c r="D37" s="1703"/>
      <c r="E37" s="1729" t="s">
        <v>96</v>
      </c>
      <c r="F37" s="1726" t="s">
        <v>822</v>
      </c>
      <c r="G37" s="1719" t="s">
        <v>791</v>
      </c>
      <c r="H37" s="610"/>
      <c r="I37" s="610"/>
      <c r="J37" s="354" t="s">
        <v>792</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823</v>
      </c>
      <c r="F39" s="2350" t="s">
        <v>824</v>
      </c>
      <c r="G39" s="2350"/>
      <c r="H39" s="434"/>
      <c r="I39" s="434"/>
      <c r="J39" s="434"/>
      <c r="AF39" s="1696">
        <v>26</v>
      </c>
    </row>
    <row s="4094" customFormat="1" customHeight="1" ht="39.75">
      <c r="A40" s="1052"/>
      <c r="B40" s="1701"/>
      <c r="C40" s="1701"/>
      <c r="D40" s="416"/>
      <c r="F40" s="2350" t="s">
        <v>825</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4094"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4094"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4094"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4094"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4094"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4094"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4094"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4094"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4094"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4094"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4094"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4094"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4094"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4094"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4094"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4094"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4094"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4094"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4094"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4094"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4094"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4094"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4094"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4094"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4094"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4094"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4094"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4094"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4094"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4094"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4094"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4094"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4094"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4094"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4094"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4094"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4094"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4094"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4094"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4094"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4094"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4094"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4094"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4094"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4094"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4094"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4094"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4094"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4094"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4094"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4094"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4094"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4094"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4094"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4094"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4094"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4094"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4094"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4094"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4094"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4094"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4094"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4094"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4094"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4094"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4094"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4094"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4094"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4094"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4094"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4094"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4094"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4094"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4094"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4094"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4094"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4094"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4094"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4094"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4094"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4094"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4094"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4094"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4094"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4094"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4094"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4094"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4094"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4094"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4094"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4094"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4094"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4094"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4094"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4094"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4094"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4094"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4094"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4094"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4094"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4094"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4094"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4094"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4094"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4094"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4094"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4094"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4094"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4094"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4094"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4094"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4094"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4094"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4094"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4094"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4094"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4094"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4094"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4094"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4094"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4094"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4094"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4094"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4094"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4094"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4094"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4094"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4094"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4094"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4094"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4094"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4094"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4094"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4094"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4094"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4094"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4094"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4094"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4094"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4094"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4094"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4094"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4094"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4094"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4094"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4094"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4094"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4094"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4094"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4094"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4094"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4094"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4094"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4094"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4094"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85</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CFF93-13CE-C9C3-98E2-8E81851C9C8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658" width="9.140625" hidden="1" customWidth="1"/>
    <col min="2" max="2" style="4423" width="3.57421875" hidden="1" customWidth="1"/>
    <col min="3" max="3" style="4921" width="3.00390625" customWidth="1"/>
    <col min="4" max="4" style="4921" width="7.00390625" customWidth="1"/>
    <col min="5" max="5" style="4921" width="69.00390625" customWidth="1"/>
    <col min="6" max="6" style="4921" width="10.00390625" customWidth="1"/>
    <col min="7" max="8" style="4921" width="44.00390625" hidden="1" customWidth="1"/>
    <col min="9" max="9" style="4921" width="44.00390625" customWidth="1"/>
    <col min="10" max="10" style="4921" width="43.00390625" customWidth="1"/>
    <col min="11" max="11" style="4921" width="73.00390625" customWidth="1"/>
    <col min="12" max="12" style="4921" width="3.00390625" customWidth="1"/>
    <col min="13" max="23" style="4921" width="10.00390625" customWidth="1"/>
    <col min="24" max="24" style="4921" width="10.57421875" hidden="1"/>
  </cols>
  <sheetData>
    <row s="4903" customFormat="1" customHeight="1" ht="22.5" hidden="1">
      <c r="A1" s="601"/>
      <c r="B1" s="576"/>
      <c r="G1" s="482">
        <v>4</v>
      </c>
      <c r="I1" s="482">
        <v>4</v>
      </c>
      <c r="K1" s="482">
        <v>5</v>
      </c>
      <c r="X1" s="482" t="s">
        <v>14</v>
      </c>
    </row>
    <row customHeight="1" ht="3">
      <c r="X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570">
        <v>75</v>
      </c>
    </row>
    <row s="4921" customFormat="1" customHeight="1" ht="21">
      <c r="A4" s="1016"/>
      <c r="B4" s="576"/>
      <c r="D4" s="2279" t="str">
        <f>IF(org=0,"Не определено",org)</f>
        <v>Филиал ПАО "ОГК-2"-Ставропольская ГРЭС</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120</v>
      </c>
      <c r="J6" s="1087"/>
      <c r="X6" s="570">
        <v>1</v>
      </c>
    </row>
    <row customHeight="1" ht="11.549999999999999">
      <c r="D7" s="776"/>
      <c r="E7" s="2432" t="s">
        <v>108</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584</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585</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921" customFormat="1" customHeight="1" ht="11.549999999999999">
      <c r="A10" s="1086"/>
      <c r="B10" s="576"/>
      <c r="D10" s="2166" t="s">
        <v>319</v>
      </c>
      <c r="E10" s="2167"/>
      <c r="F10" s="2167"/>
      <c r="G10" s="2167"/>
      <c r="H10" s="2167"/>
      <c r="I10" s="2167"/>
      <c r="J10" s="2168"/>
      <c r="K10" s="2264"/>
      <c r="L10" s="574"/>
      <c r="X10" s="823">
        <v>11</v>
      </c>
    </row>
    <row s="4921" customFormat="1" customHeight="1" ht="24">
      <c r="A11" s="2450"/>
      <c r="B11" s="2450"/>
      <c r="C11" s="722"/>
      <c r="D11" s="768" t="s">
        <v>91</v>
      </c>
      <c r="E11" s="770" t="s">
        <v>826</v>
      </c>
      <c r="F11" s="770" t="s">
        <v>586</v>
      </c>
      <c r="G11" s="530" t="s">
        <v>322</v>
      </c>
      <c r="H11" s="530" t="s">
        <v>409</v>
      </c>
      <c r="I11" s="872" t="s">
        <v>322</v>
      </c>
      <c r="J11" s="873" t="s">
        <v>409</v>
      </c>
      <c r="K11" s="2297"/>
      <c r="L11" s="723"/>
      <c r="X11" s="574">
        <v>23</v>
      </c>
    </row>
    <row s="4423" customFormat="1" customHeight="1" ht="10.5">
      <c r="A12" s="1017"/>
      <c r="D12" s="1090" t="s">
        <v>112</v>
      </c>
      <c r="E12" s="1090" t="s">
        <v>113</v>
      </c>
      <c r="F12" s="1090" t="s">
        <v>93</v>
      </c>
      <c r="G12" s="1091" t="str">
        <f>G1&amp;".1"</f>
        <v>4.1</v>
      </c>
      <c r="H12" s="1091" t="str">
        <f>G1&amp;".2"</f>
        <v>4.2</v>
      </c>
      <c r="I12" s="1091" t="str">
        <f>I1&amp;".1"</f>
        <v>4.1</v>
      </c>
      <c r="J12" s="1091" t="str">
        <f>I1&amp;".2"</f>
        <v>4.2</v>
      </c>
      <c r="K12" s="1091"/>
      <c r="X12" s="576">
        <v>10</v>
      </c>
    </row>
    <row customHeight="1" ht="22.5">
      <c r="A13" s="2457" t="s">
        <v>827</v>
      </c>
      <c r="D13" s="1018" t="s">
        <v>112</v>
      </c>
      <c r="E13" s="344" t="s">
        <v>828</v>
      </c>
      <c r="F13" s="725" t="s">
        <v>829</v>
      </c>
      <c r="G13" s="622"/>
      <c r="H13" s="726"/>
      <c r="I13" s="622"/>
      <c r="J13" s="726"/>
      <c r="K13" s="354" t="s">
        <v>830</v>
      </c>
      <c r="L13" s="785"/>
      <c r="X13" s="570">
        <v>0</v>
      </c>
    </row>
    <row customHeight="1" ht="22.5">
      <c r="A14" s="2457"/>
      <c r="D14" s="604" t="s">
        <v>113</v>
      </c>
      <c r="E14" s="344" t="s">
        <v>831</v>
      </c>
      <c r="F14" s="725" t="s">
        <v>832</v>
      </c>
      <c r="G14" s="622"/>
      <c r="H14" s="727"/>
      <c r="I14" s="622"/>
      <c r="J14" s="727"/>
      <c r="K14" s="354" t="s">
        <v>833</v>
      </c>
      <c r="L14" s="785"/>
      <c r="X14" s="570">
        <v>0</v>
      </c>
    </row>
    <row s="4921" customFormat="1" customHeight="1" ht="78.75">
      <c r="A15" s="2457"/>
      <c r="B15" s="576"/>
      <c r="D15" s="1018" t="s">
        <v>93</v>
      </c>
      <c r="E15" s="772" t="s">
        <v>834</v>
      </c>
      <c r="F15" s="1015" t="s">
        <v>325</v>
      </c>
      <c r="G15" s="1015" t="s">
        <v>325</v>
      </c>
      <c r="H15" s="171"/>
      <c r="I15" s="1015" t="s">
        <v>325</v>
      </c>
      <c r="J15" s="171"/>
      <c r="K15" s="354" t="s">
        <v>835</v>
      </c>
      <c r="L15" s="785"/>
      <c r="X15" s="823">
        <v>0</v>
      </c>
    </row>
    <row s="4921" customFormat="1" customHeight="1" ht="22.5">
      <c r="A16" s="2457"/>
      <c r="B16" s="576"/>
      <c r="D16" s="1018" t="s">
        <v>343</v>
      </c>
      <c r="E16" s="1019" t="s">
        <v>836</v>
      </c>
      <c r="F16" s="1015" t="s">
        <v>837</v>
      </c>
      <c r="G16" s="882"/>
      <c r="H16" s="171"/>
      <c r="I16" s="882"/>
      <c r="J16" s="171"/>
      <c r="K16" s="354"/>
      <c r="L16" s="785"/>
      <c r="X16" s="823">
        <v>0</v>
      </c>
    </row>
    <row s="4921" customFormat="1" customHeight="1" ht="22.5">
      <c r="A17" s="2457"/>
      <c r="B17" s="576"/>
      <c r="D17" s="1018" t="s">
        <v>351</v>
      </c>
      <c r="E17" s="1019" t="s">
        <v>838</v>
      </c>
      <c r="F17" s="1015" t="s">
        <v>839</v>
      </c>
      <c r="G17" s="882"/>
      <c r="H17" s="171"/>
      <c r="I17" s="882"/>
      <c r="J17" s="171"/>
      <c r="K17" s="354"/>
      <c r="L17" s="785"/>
      <c r="X17" s="823">
        <v>0</v>
      </c>
    </row>
    <row s="4921" customFormat="1" customHeight="1" ht="33.75">
      <c r="A18" s="2457"/>
      <c r="B18" s="576"/>
      <c r="D18" s="1018" t="s">
        <v>353</v>
      </c>
      <c r="E18" s="1019" t="s">
        <v>840</v>
      </c>
      <c r="F18" s="1015" t="s">
        <v>591</v>
      </c>
      <c r="G18" s="745"/>
      <c r="H18" s="171"/>
      <c r="I18" s="745"/>
      <c r="J18" s="171"/>
      <c r="K18" s="354"/>
      <c r="L18" s="785"/>
      <c r="X18" s="823">
        <v>0</v>
      </c>
    </row>
    <row customHeight="1" ht="101.25">
      <c r="A19" s="2457"/>
      <c r="D19" s="1018" t="s">
        <v>94</v>
      </c>
      <c r="E19" s="344" t="s">
        <v>841</v>
      </c>
      <c r="F19" s="725" t="s">
        <v>566</v>
      </c>
      <c r="G19" s="728"/>
      <c r="H19" s="727"/>
      <c r="I19" s="1020"/>
      <c r="J19" s="727"/>
      <c r="K19" s="354" t="s">
        <v>842</v>
      </c>
      <c r="L19" s="785"/>
      <c r="X19" s="570">
        <v>0</v>
      </c>
    </row>
    <row s="4921" customFormat="1" customHeight="1" ht="18.75">
      <c r="A20" s="2457"/>
      <c r="C20" s="1021"/>
      <c r="D20" s="1018" t="s">
        <v>773</v>
      </c>
      <c r="E20" s="1019" t="s">
        <v>843</v>
      </c>
      <c r="F20" s="1015" t="s">
        <v>325</v>
      </c>
      <c r="G20" s="1015" t="s">
        <v>325</v>
      </c>
      <c r="H20" s="1014" t="s">
        <v>325</v>
      </c>
      <c r="I20" s="1015" t="s">
        <v>325</v>
      </c>
      <c r="J20" s="1014" t="s">
        <v>325</v>
      </c>
      <c r="K20" s="1013"/>
      <c r="L20" s="785"/>
      <c r="W20" s="740"/>
      <c r="X20" s="823">
        <v>0</v>
      </c>
    </row>
    <row s="4921" customFormat="1" customHeight="1" ht="33.75">
      <c r="A21" s="2457"/>
      <c r="C21" s="1021"/>
      <c r="D21" s="1018" t="s">
        <v>776</v>
      </c>
      <c r="E21" s="641" t="s">
        <v>844</v>
      </c>
      <c r="F21" s="1015" t="s">
        <v>845</v>
      </c>
      <c r="G21" s="745"/>
      <c r="H21" s="171"/>
      <c r="I21" s="745"/>
      <c r="J21" s="171"/>
      <c r="K21" s="1013"/>
      <c r="L21" s="785"/>
      <c r="W21" s="740"/>
      <c r="X21" s="823">
        <v>0</v>
      </c>
    </row>
    <row s="4921" customFormat="1" customHeight="1" ht="33.75">
      <c r="A22" s="2457"/>
      <c r="C22" s="1021"/>
      <c r="D22" s="1018" t="s">
        <v>779</v>
      </c>
      <c r="E22" s="641" t="s">
        <v>846</v>
      </c>
      <c r="F22" s="1015" t="s">
        <v>847</v>
      </c>
      <c r="G22" s="745"/>
      <c r="H22" s="171"/>
      <c r="I22" s="745"/>
      <c r="J22" s="171"/>
      <c r="K22" s="1013"/>
      <c r="L22" s="785"/>
      <c r="W22" s="740"/>
      <c r="X22" s="823">
        <v>0</v>
      </c>
    </row>
    <row s="4921" customFormat="1" customHeight="1" ht="22.5">
      <c r="A23" s="2457"/>
      <c r="C23" s="1021"/>
      <c r="D23" s="1018" t="s">
        <v>815</v>
      </c>
      <c r="E23" s="1019" t="s">
        <v>848</v>
      </c>
      <c r="F23" s="1015" t="s">
        <v>325</v>
      </c>
      <c r="G23" s="1015" t="s">
        <v>325</v>
      </c>
      <c r="H23" s="1014" t="s">
        <v>325</v>
      </c>
      <c r="I23" s="1015" t="s">
        <v>325</v>
      </c>
      <c r="J23" s="1014" t="s">
        <v>325</v>
      </c>
      <c r="K23" s="1013"/>
      <c r="L23" s="785"/>
      <c r="W23" s="740"/>
      <c r="X23" s="823">
        <v>0</v>
      </c>
    </row>
    <row s="4921" customFormat="1" customHeight="1" ht="22.5">
      <c r="A24" s="2457"/>
      <c r="C24" s="1021"/>
      <c r="D24" s="1018" t="s">
        <v>849</v>
      </c>
      <c r="E24" s="641" t="s">
        <v>850</v>
      </c>
      <c r="F24" s="1015" t="s">
        <v>851</v>
      </c>
      <c r="G24" s="745"/>
      <c r="H24" s="751"/>
      <c r="I24" s="745"/>
      <c r="J24" s="751"/>
      <c r="K24" s="1013"/>
      <c r="L24" s="785"/>
      <c r="W24" s="740"/>
      <c r="X24" s="823">
        <v>0</v>
      </c>
    </row>
    <row s="4921" customFormat="1" customHeight="1" ht="22.5">
      <c r="A25" s="2457"/>
      <c r="C25" s="1021"/>
      <c r="D25" s="1018" t="s">
        <v>852</v>
      </c>
      <c r="E25" s="641" t="s">
        <v>853</v>
      </c>
      <c r="F25" s="1015" t="s">
        <v>325</v>
      </c>
      <c r="G25" s="1015" t="s">
        <v>325</v>
      </c>
      <c r="H25" s="1014" t="s">
        <v>325</v>
      </c>
      <c r="I25" s="1015" t="s">
        <v>325</v>
      </c>
      <c r="J25" s="1014" t="s">
        <v>325</v>
      </c>
      <c r="K25" s="1013"/>
      <c r="L25" s="785"/>
      <c r="W25" s="740"/>
      <c r="X25" s="823">
        <v>0</v>
      </c>
    </row>
    <row s="4921" customFormat="1" customHeight="1" ht="18.75">
      <c r="A26" s="2457"/>
      <c r="C26" s="1021"/>
      <c r="D26" s="1018" t="s">
        <v>854</v>
      </c>
      <c r="E26" s="618" t="s">
        <v>855</v>
      </c>
      <c r="F26" s="1015" t="s">
        <v>856</v>
      </c>
      <c r="G26" s="745"/>
      <c r="H26" s="751"/>
      <c r="I26" s="745"/>
      <c r="J26" s="751"/>
      <c r="K26" s="1013"/>
      <c r="L26" s="785"/>
      <c r="W26" s="740"/>
      <c r="X26" s="823">
        <v>0</v>
      </c>
    </row>
    <row s="4921" customFormat="1" customHeight="1" ht="18.75">
      <c r="A27" s="2457"/>
      <c r="C27" s="1021"/>
      <c r="D27" s="1018" t="s">
        <v>857</v>
      </c>
      <c r="E27" s="618" t="s">
        <v>858</v>
      </c>
      <c r="F27" s="1015" t="s">
        <v>859</v>
      </c>
      <c r="G27" s="745"/>
      <c r="H27" s="751"/>
      <c r="I27" s="745"/>
      <c r="J27" s="751"/>
      <c r="K27" s="1013"/>
      <c r="L27" s="785"/>
      <c r="W27" s="740"/>
      <c r="X27" s="823">
        <v>0</v>
      </c>
    </row>
    <row s="4921" customFormat="1" customHeight="1" ht="18.75">
      <c r="A28" s="2457"/>
      <c r="C28" s="1021"/>
      <c r="D28" s="1018" t="s">
        <v>860</v>
      </c>
      <c r="E28" s="641" t="s">
        <v>861</v>
      </c>
      <c r="F28" s="1015" t="s">
        <v>325</v>
      </c>
      <c r="G28" s="1015" t="s">
        <v>325</v>
      </c>
      <c r="H28" s="1014" t="s">
        <v>325</v>
      </c>
      <c r="I28" s="1015" t="s">
        <v>325</v>
      </c>
      <c r="J28" s="1014" t="s">
        <v>325</v>
      </c>
      <c r="K28" s="1013"/>
      <c r="L28" s="785"/>
      <c r="W28" s="740"/>
      <c r="X28" s="823">
        <v>0</v>
      </c>
    </row>
    <row s="4921" customFormat="1" customHeight="1" ht="18.75">
      <c r="A29" s="2457"/>
      <c r="C29" s="1021"/>
      <c r="D29" s="1018" t="s">
        <v>862</v>
      </c>
      <c r="E29" s="618" t="s">
        <v>855</v>
      </c>
      <c r="F29" s="1015" t="s">
        <v>863</v>
      </c>
      <c r="G29" s="745"/>
      <c r="H29" s="751"/>
      <c r="I29" s="745"/>
      <c r="J29" s="751"/>
      <c r="K29" s="1013"/>
      <c r="L29" s="785"/>
      <c r="W29" s="740"/>
      <c r="X29" s="823">
        <v>0</v>
      </c>
    </row>
    <row s="4921" customFormat="1" customHeight="1" ht="18.75">
      <c r="A30" s="2457"/>
      <c r="C30" s="1021"/>
      <c r="D30" s="1018" t="s">
        <v>864</v>
      </c>
      <c r="E30" s="618" t="s">
        <v>865</v>
      </c>
      <c r="F30" s="1015" t="s">
        <v>866</v>
      </c>
      <c r="G30" s="745"/>
      <c r="H30" s="751"/>
      <c r="I30" s="745"/>
      <c r="J30" s="751"/>
      <c r="K30" s="1013"/>
      <c r="L30" s="785"/>
      <c r="W30" s="740"/>
      <c r="X30" s="823">
        <v>0</v>
      </c>
    </row>
    <row customHeight="1" ht="126.75">
      <c r="A31" s="2457"/>
      <c r="D31" s="1018" t="s">
        <v>114</v>
      </c>
      <c r="E31" s="344" t="s">
        <v>867</v>
      </c>
      <c r="F31" s="725" t="s">
        <v>578</v>
      </c>
      <c r="G31" s="622"/>
      <c r="H31" s="727"/>
      <c r="I31" s="622"/>
      <c r="J31" s="727"/>
      <c r="K31" s="354" t="s">
        <v>868</v>
      </c>
      <c r="L31" s="785"/>
      <c r="X31" s="570">
        <v>0</v>
      </c>
    </row>
    <row customHeight="1" ht="56.25">
      <c r="A32" s="2457"/>
      <c r="D32" s="1018" t="s">
        <v>95</v>
      </c>
      <c r="E32" s="344" t="s">
        <v>869</v>
      </c>
      <c r="F32" s="604" t="s">
        <v>839</v>
      </c>
      <c r="G32" s="622"/>
      <c r="H32" s="727"/>
      <c r="I32" s="622"/>
      <c r="J32" s="727"/>
      <c r="K32" s="354" t="s">
        <v>870</v>
      </c>
      <c r="L32" s="785"/>
      <c r="X32" s="570">
        <v>0</v>
      </c>
    </row>
    <row customHeight="1" ht="11.25">
      <c r="A33" s="2457"/>
      <c r="E33" s="729"/>
      <c r="F33" s="246"/>
      <c r="G33" s="246"/>
      <c r="H33" s="246"/>
      <c r="I33" s="246"/>
      <c r="J33" s="246"/>
      <c r="K33" s="246"/>
      <c r="X33" s="570">
        <v>0</v>
      </c>
    </row>
    <row customHeight="1" ht="12.75">
      <c r="A34" s="2457"/>
      <c r="D34" s="130">
        <v>1</v>
      </c>
      <c r="E34" s="400" t="s">
        <v>871</v>
      </c>
      <c r="X34" s="570">
        <v>0</v>
      </c>
    </row>
    <row customHeight="1" ht="11.25">
      <c r="A35" s="2457"/>
      <c r="D35" s="434"/>
      <c r="E35" s="400" t="s">
        <v>872</v>
      </c>
      <c r="X35" s="570">
        <v>0</v>
      </c>
    </row>
    <row s="4921" customFormat="1" customHeight="1" ht="11.549999999999999">
      <c r="A36" s="1098"/>
      <c r="B36" s="583"/>
      <c r="D36" s="1099"/>
      <c r="E36" s="1100"/>
      <c r="X36" s="574">
        <v>11</v>
      </c>
    </row>
    <row s="4921" customFormat="1" customHeight="1" ht="22.5" hidden="1">
      <c r="A37" s="2457" t="s">
        <v>873</v>
      </c>
      <c r="B37" s="576"/>
      <c r="D37" s="1018">
        <v>1</v>
      </c>
      <c r="E37" s="772" t="s">
        <v>874</v>
      </c>
      <c r="F37" s="725" t="s">
        <v>829</v>
      </c>
      <c r="G37" s="622"/>
      <c r="H37" s="584"/>
      <c r="I37" s="622"/>
      <c r="J37" s="584"/>
      <c r="K37" s="354" t="s">
        <v>875</v>
      </c>
      <c r="X37" s="823">
        <v>0</v>
      </c>
    </row>
    <row s="4921" customFormat="1" customHeight="1" ht="22.5" hidden="1">
      <c r="A38" s="2457"/>
      <c r="B38" s="576"/>
      <c r="D38" s="734" t="s">
        <v>113</v>
      </c>
      <c r="E38" s="1097" t="s">
        <v>876</v>
      </c>
      <c r="F38" s="1101" t="s">
        <v>566</v>
      </c>
      <c r="G38" s="1101" t="s">
        <v>566</v>
      </c>
      <c r="H38" s="1095"/>
      <c r="I38" s="1101" t="s">
        <v>566</v>
      </c>
      <c r="J38" s="1095"/>
      <c r="K38" s="1096"/>
      <c r="X38" s="823">
        <v>0</v>
      </c>
    </row>
    <row s="4921" customFormat="1" customHeight="1" ht="33.75" hidden="1">
      <c r="A39" s="2457"/>
      <c r="B39" s="576"/>
      <c r="D39" s="730" t="s">
        <v>731</v>
      </c>
      <c r="E39" s="788" t="s">
        <v>877</v>
      </c>
      <c r="F39" s="725" t="s">
        <v>878</v>
      </c>
      <c r="G39" s="733"/>
      <c r="H39" s="1088"/>
      <c r="I39" s="733"/>
      <c r="J39" s="1088"/>
      <c r="K39" s="354" t="s">
        <v>879</v>
      </c>
      <c r="X39" s="823">
        <v>0</v>
      </c>
    </row>
    <row s="4921" customFormat="1" customHeight="1" ht="33.75" hidden="1">
      <c r="A40" s="2457"/>
      <c r="B40" s="576"/>
      <c r="D40" s="730" t="s">
        <v>734</v>
      </c>
      <c r="E40" s="788" t="s">
        <v>880</v>
      </c>
      <c r="F40" s="1092" t="s">
        <v>881</v>
      </c>
      <c r="G40" s="806"/>
      <c r="H40" s="1088"/>
      <c r="I40" s="806"/>
      <c r="J40" s="1088"/>
      <c r="K40" s="354" t="s">
        <v>882</v>
      </c>
      <c r="X40" s="823">
        <v>0</v>
      </c>
    </row>
    <row s="4921" customFormat="1" customHeight="1" ht="22.5" hidden="1">
      <c r="A41" s="2457"/>
      <c r="B41" s="576"/>
      <c r="D41" s="730" t="s">
        <v>93</v>
      </c>
      <c r="E41" s="787" t="s">
        <v>883</v>
      </c>
      <c r="F41" s="725" t="s">
        <v>566</v>
      </c>
      <c r="G41" s="725" t="s">
        <v>566</v>
      </c>
      <c r="H41" s="1089"/>
      <c r="I41" s="725" t="s">
        <v>566</v>
      </c>
      <c r="J41" s="1089"/>
      <c r="K41" s="367"/>
      <c r="X41" s="823">
        <v>0</v>
      </c>
    </row>
    <row s="4921" customFormat="1" customHeight="1" ht="45" hidden="1">
      <c r="A42" s="2457"/>
      <c r="B42" s="576"/>
      <c r="D42" s="730" t="s">
        <v>343</v>
      </c>
      <c r="E42" s="788" t="s">
        <v>884</v>
      </c>
      <c r="F42" s="725" t="s">
        <v>578</v>
      </c>
      <c r="G42" s="622"/>
      <c r="H42" s="1089"/>
      <c r="I42" s="622"/>
      <c r="J42" s="1089"/>
      <c r="K42" s="367" t="s">
        <v>885</v>
      </c>
      <c r="X42" s="823">
        <v>0</v>
      </c>
    </row>
    <row s="4921" customFormat="1" customHeight="1" ht="45" hidden="1">
      <c r="A43" s="2457"/>
      <c r="B43" s="576"/>
      <c r="D43" s="730" t="s">
        <v>351</v>
      </c>
      <c r="E43" s="732" t="s">
        <v>886</v>
      </c>
      <c r="F43" s="1093" t="s">
        <v>578</v>
      </c>
      <c r="G43" s="807"/>
      <c r="H43" s="1088"/>
      <c r="I43" s="807"/>
      <c r="J43" s="1088"/>
      <c r="K43" s="367" t="s">
        <v>887</v>
      </c>
      <c r="X43" s="823">
        <v>0</v>
      </c>
    </row>
    <row s="4921" customFormat="1" customHeight="1" ht="11.25" hidden="1">
      <c r="A44" s="2457"/>
      <c r="B44" s="576"/>
      <c r="D44" s="730" t="s">
        <v>94</v>
      </c>
      <c r="E44" s="731" t="s">
        <v>888</v>
      </c>
      <c r="F44" s="725" t="s">
        <v>878</v>
      </c>
      <c r="G44" s="733"/>
      <c r="H44" s="1088"/>
      <c r="I44" s="733"/>
      <c r="J44" s="1088"/>
      <c r="K44" s="354"/>
      <c r="X44" s="823">
        <v>0</v>
      </c>
    </row>
    <row s="4921" customFormat="1" customHeight="1" ht="11.25" hidden="1">
      <c r="A45" s="2457"/>
      <c r="B45" s="576"/>
      <c r="D45" s="730" t="s">
        <v>773</v>
      </c>
      <c r="E45" s="732" t="s">
        <v>889</v>
      </c>
      <c r="F45" s="725" t="s">
        <v>878</v>
      </c>
      <c r="G45" s="733"/>
      <c r="H45" s="1088"/>
      <c r="I45" s="733"/>
      <c r="J45" s="1088"/>
      <c r="K45" s="354"/>
      <c r="X45" s="823">
        <v>0</v>
      </c>
    </row>
    <row s="4921" customFormat="1" customHeight="1" ht="11.25" hidden="1">
      <c r="A46" s="2457"/>
      <c r="B46" s="576"/>
      <c r="D46" s="730" t="s">
        <v>815</v>
      </c>
      <c r="E46" s="732" t="s">
        <v>890</v>
      </c>
      <c r="F46" s="725" t="s">
        <v>878</v>
      </c>
      <c r="G46" s="733"/>
      <c r="H46" s="1088"/>
      <c r="I46" s="733"/>
      <c r="J46" s="1088"/>
      <c r="K46" s="354"/>
      <c r="X46" s="823">
        <v>0</v>
      </c>
    </row>
    <row s="4921" customFormat="1" customHeight="1" ht="11.25" hidden="1">
      <c r="A47" s="2457"/>
      <c r="B47" s="576"/>
      <c r="D47" s="730" t="s">
        <v>818</v>
      </c>
      <c r="E47" s="732" t="s">
        <v>891</v>
      </c>
      <c r="F47" s="725" t="s">
        <v>878</v>
      </c>
      <c r="G47" s="733"/>
      <c r="H47" s="1088"/>
      <c r="I47" s="733"/>
      <c r="J47" s="1088"/>
      <c r="K47" s="354"/>
      <c r="X47" s="823">
        <v>0</v>
      </c>
    </row>
    <row s="4921" customFormat="1" customHeight="1" ht="11.25" hidden="1">
      <c r="A48" s="2457"/>
      <c r="B48" s="576"/>
      <c r="D48" s="730" t="s">
        <v>892</v>
      </c>
      <c r="E48" s="736" t="s">
        <v>893</v>
      </c>
      <c r="F48" s="725" t="s">
        <v>878</v>
      </c>
      <c r="G48" s="733"/>
      <c r="H48" s="1088"/>
      <c r="I48" s="733"/>
      <c r="J48" s="1088"/>
      <c r="K48" s="354"/>
      <c r="X48" s="823">
        <v>0</v>
      </c>
    </row>
    <row s="4921" customFormat="1" customHeight="1" ht="11.25" hidden="1">
      <c r="A49" s="2457"/>
      <c r="B49" s="576"/>
      <c r="D49" s="730" t="s">
        <v>894</v>
      </c>
      <c r="E49" s="736" t="s">
        <v>895</v>
      </c>
      <c r="F49" s="725" t="s">
        <v>878</v>
      </c>
      <c r="G49" s="733"/>
      <c r="H49" s="1088"/>
      <c r="I49" s="733"/>
      <c r="J49" s="1088"/>
      <c r="K49" s="354"/>
      <c r="X49" s="823">
        <v>0</v>
      </c>
    </row>
    <row s="4921" customFormat="1" customHeight="1" ht="11.25" hidden="1">
      <c r="A50" s="2457"/>
      <c r="B50" s="576"/>
      <c r="D50" s="730" t="s">
        <v>896</v>
      </c>
      <c r="E50" s="732" t="s">
        <v>897</v>
      </c>
      <c r="F50" s="725" t="s">
        <v>878</v>
      </c>
      <c r="G50" s="733"/>
      <c r="H50" s="1088"/>
      <c r="I50" s="733"/>
      <c r="J50" s="1088"/>
      <c r="K50" s="354"/>
      <c r="X50" s="823">
        <v>0</v>
      </c>
    </row>
    <row s="4921" customFormat="1" customHeight="1" ht="11.25" hidden="1">
      <c r="A51" s="2457"/>
      <c r="B51" s="576"/>
      <c r="D51" s="730" t="s">
        <v>898</v>
      </c>
      <c r="E51" s="732" t="s">
        <v>899</v>
      </c>
      <c r="F51" s="725" t="s">
        <v>878</v>
      </c>
      <c r="G51" s="733"/>
      <c r="H51" s="1088"/>
      <c r="I51" s="733"/>
      <c r="J51" s="1088"/>
      <c r="K51" s="354"/>
      <c r="X51" s="823">
        <v>0</v>
      </c>
    </row>
    <row s="4921" customFormat="1" customHeight="1" ht="45" hidden="1">
      <c r="A52" s="2457"/>
      <c r="B52" s="576"/>
      <c r="D52" s="730" t="s">
        <v>114</v>
      </c>
      <c r="E52" s="731" t="s">
        <v>900</v>
      </c>
      <c r="F52" s="725" t="s">
        <v>878</v>
      </c>
      <c r="G52" s="733"/>
      <c r="H52" s="1088"/>
      <c r="I52" s="733"/>
      <c r="J52" s="1088"/>
      <c r="K52" s="354"/>
      <c r="X52" s="823">
        <v>0</v>
      </c>
    </row>
    <row s="4921" customFormat="1" customHeight="1" ht="11.25" hidden="1">
      <c r="A53" s="2457"/>
      <c r="B53" s="576"/>
      <c r="D53" s="730" t="s">
        <v>332</v>
      </c>
      <c r="E53" s="732" t="s">
        <v>889</v>
      </c>
      <c r="F53" s="725" t="s">
        <v>878</v>
      </c>
      <c r="G53" s="733"/>
      <c r="H53" s="1088"/>
      <c r="I53" s="733"/>
      <c r="J53" s="1088"/>
      <c r="K53" s="354"/>
      <c r="X53" s="823">
        <v>0</v>
      </c>
    </row>
    <row s="4921" customFormat="1" customHeight="1" ht="11.25" hidden="1">
      <c r="A54" s="2457"/>
      <c r="B54" s="576"/>
      <c r="D54" s="730" t="s">
        <v>901</v>
      </c>
      <c r="E54" s="732" t="s">
        <v>890</v>
      </c>
      <c r="F54" s="725" t="s">
        <v>878</v>
      </c>
      <c r="G54" s="733"/>
      <c r="H54" s="1088"/>
      <c r="I54" s="733"/>
      <c r="J54" s="1088"/>
      <c r="K54" s="354"/>
      <c r="X54" s="823">
        <v>0</v>
      </c>
    </row>
    <row s="4921" customFormat="1" customHeight="1" ht="11.25" hidden="1">
      <c r="A55" s="2457"/>
      <c r="B55" s="576"/>
      <c r="D55" s="730" t="s">
        <v>902</v>
      </c>
      <c r="E55" s="732" t="s">
        <v>891</v>
      </c>
      <c r="F55" s="725" t="s">
        <v>878</v>
      </c>
      <c r="G55" s="733"/>
      <c r="H55" s="1088"/>
      <c r="I55" s="733"/>
      <c r="J55" s="1088"/>
      <c r="K55" s="354"/>
      <c r="X55" s="823">
        <v>0</v>
      </c>
    </row>
    <row s="4921" customFormat="1" customHeight="1" ht="11.25" hidden="1">
      <c r="A56" s="2457"/>
      <c r="B56" s="576"/>
      <c r="D56" s="730" t="s">
        <v>903</v>
      </c>
      <c r="E56" s="736" t="s">
        <v>893</v>
      </c>
      <c r="F56" s="725" t="s">
        <v>878</v>
      </c>
      <c r="G56" s="733"/>
      <c r="H56" s="1088"/>
      <c r="I56" s="733"/>
      <c r="J56" s="1088"/>
      <c r="K56" s="354"/>
      <c r="X56" s="823">
        <v>0</v>
      </c>
    </row>
    <row s="4921" customFormat="1" customHeight="1" ht="11.25" hidden="1">
      <c r="A57" s="2457"/>
      <c r="B57" s="576"/>
      <c r="D57" s="730" t="s">
        <v>904</v>
      </c>
      <c r="E57" s="736" t="s">
        <v>895</v>
      </c>
      <c r="F57" s="725" t="s">
        <v>878</v>
      </c>
      <c r="G57" s="733"/>
      <c r="H57" s="1088"/>
      <c r="I57" s="733"/>
      <c r="J57" s="1088"/>
      <c r="K57" s="354"/>
      <c r="X57" s="823">
        <v>0</v>
      </c>
    </row>
    <row s="4921" customFormat="1" customHeight="1" ht="11.25" hidden="1">
      <c r="A58" s="2457"/>
      <c r="B58" s="576"/>
      <c r="D58" s="730" t="s">
        <v>905</v>
      </c>
      <c r="E58" s="732" t="s">
        <v>897</v>
      </c>
      <c r="F58" s="725" t="s">
        <v>878</v>
      </c>
      <c r="G58" s="733"/>
      <c r="H58" s="1088"/>
      <c r="I58" s="733"/>
      <c r="J58" s="1088"/>
      <c r="K58" s="354"/>
      <c r="X58" s="823">
        <v>0</v>
      </c>
    </row>
    <row s="4921" customFormat="1" customHeight="1" ht="11.25" hidden="1">
      <c r="A59" s="2457"/>
      <c r="B59" s="576"/>
      <c r="D59" s="730" t="s">
        <v>906</v>
      </c>
      <c r="E59" s="732" t="s">
        <v>899</v>
      </c>
      <c r="F59" s="725" t="s">
        <v>878</v>
      </c>
      <c r="G59" s="733"/>
      <c r="H59" s="1088"/>
      <c r="I59" s="733"/>
      <c r="J59" s="1088"/>
      <c r="K59" s="354"/>
      <c r="X59" s="823">
        <v>0</v>
      </c>
    </row>
    <row s="4921" customFormat="1" customHeight="1" ht="33.75" hidden="1">
      <c r="A60" s="2457"/>
      <c r="B60" s="576"/>
      <c r="D60" s="730" t="s">
        <v>95</v>
      </c>
      <c r="E60" s="731" t="s">
        <v>907</v>
      </c>
      <c r="F60" s="786" t="s">
        <v>578</v>
      </c>
      <c r="G60" s="807"/>
      <c r="H60" s="1088"/>
      <c r="I60" s="807"/>
      <c r="J60" s="1088"/>
      <c r="K60" s="367" t="s">
        <v>908</v>
      </c>
      <c r="X60" s="823">
        <v>0</v>
      </c>
    </row>
    <row s="4921" customFormat="1" customHeight="1" ht="33.75" hidden="1">
      <c r="A61" s="2457"/>
      <c r="B61" s="576"/>
      <c r="D61" s="730" t="s">
        <v>96</v>
      </c>
      <c r="E61" s="731" t="s">
        <v>909</v>
      </c>
      <c r="F61" s="791" t="s">
        <v>839</v>
      </c>
      <c r="G61" s="733"/>
      <c r="H61" s="1088"/>
      <c r="I61" s="733"/>
      <c r="J61" s="1088"/>
      <c r="K61" s="354"/>
      <c r="X61" s="823">
        <v>0</v>
      </c>
    </row>
    <row s="4921" customFormat="1" customHeight="1" ht="22.5" hidden="1">
      <c r="A62" s="2457"/>
      <c r="B62" s="576" t="s">
        <v>608</v>
      </c>
      <c r="D62" s="730" t="s">
        <v>115</v>
      </c>
      <c r="E62" s="731" t="s">
        <v>910</v>
      </c>
      <c r="F62" s="791" t="s">
        <v>325</v>
      </c>
      <c r="G62" s="447"/>
      <c r="H62" s="1088"/>
      <c r="I62" s="447"/>
      <c r="J62" s="1088"/>
      <c r="K62" s="354" t="s">
        <v>651</v>
      </c>
      <c r="X62" s="823">
        <v>0</v>
      </c>
    </row>
    <row s="4921" customFormat="1" customHeight="1" ht="45" hidden="1">
      <c r="A63" s="2457"/>
      <c r="B63" s="576" t="s">
        <v>608</v>
      </c>
      <c r="D63" s="730" t="s">
        <v>911</v>
      </c>
      <c r="E63" s="732" t="s">
        <v>912</v>
      </c>
      <c r="F63" s="786" t="s">
        <v>325</v>
      </c>
      <c r="G63" s="447"/>
      <c r="H63" s="1088"/>
      <c r="I63" s="447"/>
      <c r="J63" s="1088"/>
      <c r="K63" s="354" t="s">
        <v>651</v>
      </c>
      <c r="X63" s="823">
        <v>0</v>
      </c>
    </row>
    <row s="4921" customFormat="1" customHeight="1" ht="11.549999999999999">
      <c r="A64" s="1098"/>
      <c r="B64" s="583"/>
      <c r="D64" s="1099"/>
      <c r="E64" s="1100"/>
      <c r="X64" s="574">
        <v>11</v>
      </c>
    </row>
    <row s="4921" customFormat="1" customHeight="1" ht="22.5" hidden="1">
      <c r="A65" s="2457" t="s">
        <v>913</v>
      </c>
      <c r="B65" s="576"/>
      <c r="D65" s="730">
        <v>1</v>
      </c>
      <c r="E65" s="809" t="s">
        <v>914</v>
      </c>
      <c r="F65" s="805" t="s">
        <v>829</v>
      </c>
      <c r="G65" s="806"/>
      <c r="H65" s="1094"/>
      <c r="I65" s="806"/>
      <c r="J65" s="1094"/>
      <c r="K65" s="366" t="s">
        <v>915</v>
      </c>
      <c r="X65" s="823">
        <v>0</v>
      </c>
    </row>
    <row s="4921" customFormat="1" customHeight="1" ht="56.25" hidden="1">
      <c r="A66" s="2457"/>
      <c r="B66" s="576"/>
      <c r="D66" s="808" t="s">
        <v>113</v>
      </c>
      <c r="E66" s="772" t="s">
        <v>916</v>
      </c>
      <c r="F66" s="725" t="s">
        <v>566</v>
      </c>
      <c r="G66" s="725" t="s">
        <v>566</v>
      </c>
      <c r="H66" s="584"/>
      <c r="I66" s="725" t="s">
        <v>566</v>
      </c>
      <c r="J66" s="584"/>
      <c r="K66" s="354"/>
      <c r="X66" s="823">
        <v>0</v>
      </c>
    </row>
    <row s="4921" customFormat="1" customHeight="1" ht="33.75" hidden="1">
      <c r="A67" s="2457"/>
      <c r="B67" s="576"/>
      <c r="D67" s="808" t="s">
        <v>728</v>
      </c>
      <c r="E67" s="1019" t="s">
        <v>917</v>
      </c>
      <c r="F67" s="725" t="s">
        <v>881</v>
      </c>
      <c r="G67" s="792"/>
      <c r="H67" s="584"/>
      <c r="I67" s="792"/>
      <c r="J67" s="584"/>
      <c r="K67" s="354"/>
      <c r="X67" s="823">
        <v>0</v>
      </c>
    </row>
    <row s="4921" customFormat="1" customHeight="1" ht="22.5" hidden="1">
      <c r="A68" s="2457"/>
      <c r="B68" s="576"/>
      <c r="D68" s="808" t="s">
        <v>326</v>
      </c>
      <c r="E68" s="1019" t="s">
        <v>918</v>
      </c>
      <c r="F68" s="725" t="s">
        <v>881</v>
      </c>
      <c r="G68" s="792"/>
      <c r="H68" s="584"/>
      <c r="I68" s="792"/>
      <c r="J68" s="584"/>
      <c r="K68" s="354"/>
      <c r="X68" s="823">
        <v>0</v>
      </c>
    </row>
    <row s="4921" customFormat="1" customHeight="1" ht="22.5" hidden="1">
      <c r="A69" s="2457"/>
      <c r="B69" s="576"/>
      <c r="D69" s="808" t="s">
        <v>329</v>
      </c>
      <c r="E69" s="1019" t="s">
        <v>919</v>
      </c>
      <c r="F69" s="786" t="s">
        <v>578</v>
      </c>
      <c r="G69" s="807"/>
      <c r="H69" s="584"/>
      <c r="I69" s="807"/>
      <c r="J69" s="584"/>
      <c r="K69" s="354"/>
      <c r="X69" s="823">
        <v>0</v>
      </c>
    </row>
    <row s="4921" customFormat="1" customHeight="1" ht="22.5" hidden="1">
      <c r="A70" s="2457"/>
      <c r="B70" s="576"/>
      <c r="D70" s="808" t="s">
        <v>748</v>
      </c>
      <c r="E70" s="1019" t="s">
        <v>920</v>
      </c>
      <c r="F70" s="786" t="s">
        <v>578</v>
      </c>
      <c r="G70" s="807"/>
      <c r="H70" s="584"/>
      <c r="I70" s="807"/>
      <c r="J70" s="584"/>
      <c r="K70" s="354"/>
      <c r="X70" s="823">
        <v>0</v>
      </c>
    </row>
    <row s="4921" customFormat="1" customHeight="1" ht="22.5" hidden="1">
      <c r="A71" s="2457"/>
      <c r="B71" s="576"/>
      <c r="D71" s="730" t="s">
        <v>93</v>
      </c>
      <c r="E71" s="731" t="s">
        <v>921</v>
      </c>
      <c r="F71" s="725" t="s">
        <v>881</v>
      </c>
      <c r="G71" s="622"/>
      <c r="H71" s="1095"/>
      <c r="I71" s="622"/>
      <c r="J71" s="1095"/>
      <c r="K71" s="367"/>
      <c r="X71" s="823">
        <v>0</v>
      </c>
    </row>
    <row s="4921" customFormat="1" customHeight="1" ht="56.25" hidden="1">
      <c r="A72" s="2457"/>
      <c r="B72" s="576"/>
      <c r="D72" s="730" t="s">
        <v>94</v>
      </c>
      <c r="E72" s="731" t="s">
        <v>922</v>
      </c>
      <c r="F72" s="786" t="s">
        <v>578</v>
      </c>
      <c r="G72" s="807"/>
      <c r="H72" s="1088"/>
      <c r="I72" s="807"/>
      <c r="J72" s="1088"/>
      <c r="K72" s="367"/>
      <c r="X72" s="823">
        <v>0</v>
      </c>
    </row>
    <row s="4921" customFormat="1" customHeight="1" ht="33.75" hidden="1">
      <c r="A73" s="2457"/>
      <c r="B73" s="576"/>
      <c r="D73" s="730" t="s">
        <v>114</v>
      </c>
      <c r="E73" s="731" t="s">
        <v>923</v>
      </c>
      <c r="F73" s="791" t="s">
        <v>839</v>
      </c>
      <c r="G73" s="733"/>
      <c r="H73" s="1088"/>
      <c r="I73" s="733"/>
      <c r="J73" s="1088"/>
      <c r="K73" s="354"/>
      <c r="X73" s="823">
        <v>0</v>
      </c>
    </row>
    <row s="4921" customFormat="1" customHeight="1" ht="22.5" hidden="1">
      <c r="A74" s="2457"/>
      <c r="B74" s="576" t="s">
        <v>608</v>
      </c>
      <c r="D74" s="730" t="s">
        <v>95</v>
      </c>
      <c r="E74" s="731" t="s">
        <v>924</v>
      </c>
      <c r="F74" s="791" t="s">
        <v>325</v>
      </c>
      <c r="G74" s="447"/>
      <c r="H74" s="1088"/>
      <c r="I74" s="447"/>
      <c r="J74" s="1088"/>
      <c r="K74" s="354" t="s">
        <v>651</v>
      </c>
      <c r="X74" s="823">
        <v>0</v>
      </c>
    </row>
    <row s="4921" customFormat="1" customHeight="1" ht="45" hidden="1">
      <c r="A75" s="2457"/>
      <c r="B75" s="576" t="s">
        <v>608</v>
      </c>
      <c r="D75" s="730" t="s">
        <v>672</v>
      </c>
      <c r="E75" s="732" t="s">
        <v>925</v>
      </c>
      <c r="F75" s="786" t="s">
        <v>325</v>
      </c>
      <c r="G75" s="447"/>
      <c r="H75" s="1088"/>
      <c r="I75" s="447"/>
      <c r="J75" s="1088"/>
      <c r="K75" s="354" t="s">
        <v>651</v>
      </c>
      <c r="X75" s="823">
        <v>0</v>
      </c>
    </row>
    <row s="4921" customFormat="1" customHeight="1" ht="11.549999999999999">
      <c r="A76" s="1098"/>
      <c r="B76" s="583"/>
      <c r="D76" s="1099"/>
      <c r="E76" s="1100"/>
      <c r="X76" s="574">
        <v>11</v>
      </c>
    </row>
    <row s="4921" customFormat="1" customHeight="1" ht="11.25" hidden="1">
      <c r="A77" s="2457" t="s">
        <v>926</v>
      </c>
      <c r="B77" s="576"/>
      <c r="D77" s="730">
        <v>1</v>
      </c>
      <c r="E77" s="731" t="s">
        <v>927</v>
      </c>
      <c r="F77" s="786" t="s">
        <v>829</v>
      </c>
      <c r="G77" s="789"/>
      <c r="H77" s="1088"/>
      <c r="I77" s="789"/>
      <c r="J77" s="1088"/>
      <c r="K77" s="354" t="s">
        <v>928</v>
      </c>
      <c r="X77" s="823">
        <v>0</v>
      </c>
    </row>
    <row s="4921" customFormat="1" customHeight="1" ht="11.25" hidden="1">
      <c r="A78" s="2457"/>
      <c r="B78" s="576"/>
      <c r="D78" s="730" t="s">
        <v>113</v>
      </c>
      <c r="E78" s="731" t="s">
        <v>929</v>
      </c>
      <c r="F78" s="786" t="s">
        <v>829</v>
      </c>
      <c r="G78" s="789"/>
      <c r="H78" s="1088"/>
      <c r="I78" s="789"/>
      <c r="J78" s="1088"/>
      <c r="K78" s="354" t="s">
        <v>930</v>
      </c>
      <c r="X78" s="823">
        <v>0</v>
      </c>
    </row>
    <row s="4921" customFormat="1" customHeight="1" ht="22.5" hidden="1">
      <c r="A79" s="2457"/>
      <c r="B79" s="576"/>
      <c r="D79" s="730" t="s">
        <v>93</v>
      </c>
      <c r="E79" s="787" t="s">
        <v>931</v>
      </c>
      <c r="F79" s="725" t="s">
        <v>878</v>
      </c>
      <c r="G79" s="789"/>
      <c r="H79" s="1088"/>
      <c r="I79" s="789"/>
      <c r="J79" s="1088"/>
      <c r="K79" s="354" t="s">
        <v>932</v>
      </c>
      <c r="X79" s="823">
        <v>0</v>
      </c>
    </row>
    <row s="4921" customFormat="1" customHeight="1" ht="11.25" hidden="1">
      <c r="A80" s="2457"/>
      <c r="B80" s="576"/>
      <c r="D80" s="730" t="s">
        <v>343</v>
      </c>
      <c r="E80" s="788" t="s">
        <v>933</v>
      </c>
      <c r="F80" s="725" t="s">
        <v>878</v>
      </c>
      <c r="G80" s="789"/>
      <c r="H80" s="1088"/>
      <c r="I80" s="789"/>
      <c r="J80" s="1088"/>
      <c r="K80" s="354"/>
      <c r="X80" s="823">
        <v>0</v>
      </c>
    </row>
    <row s="4921" customFormat="1" customHeight="1" ht="11.25" hidden="1">
      <c r="A81" s="2457"/>
      <c r="B81" s="576"/>
      <c r="D81" s="730" t="s">
        <v>351</v>
      </c>
      <c r="E81" s="788" t="s">
        <v>934</v>
      </c>
      <c r="F81" s="725" t="s">
        <v>878</v>
      </c>
      <c r="G81" s="789"/>
      <c r="H81" s="1088"/>
      <c r="I81" s="789"/>
      <c r="J81" s="1088"/>
      <c r="K81" s="354"/>
      <c r="X81" s="823">
        <v>0</v>
      </c>
    </row>
    <row s="4921" customFormat="1" customHeight="1" ht="11.25" hidden="1">
      <c r="A82" s="2457"/>
      <c r="B82" s="576"/>
      <c r="D82" s="730" t="s">
        <v>353</v>
      </c>
      <c r="E82" s="788" t="s">
        <v>935</v>
      </c>
      <c r="F82" s="725" t="s">
        <v>878</v>
      </c>
      <c r="G82" s="789"/>
      <c r="H82" s="1088"/>
      <c r="I82" s="789"/>
      <c r="J82" s="1088"/>
      <c r="K82" s="354"/>
      <c r="X82" s="823">
        <v>0</v>
      </c>
    </row>
    <row s="4921" customFormat="1" customHeight="1" ht="11.25" hidden="1">
      <c r="A83" s="2457"/>
      <c r="B83" s="576"/>
      <c r="D83" s="730" t="s">
        <v>355</v>
      </c>
      <c r="E83" s="788" t="s">
        <v>936</v>
      </c>
      <c r="F83" s="725" t="s">
        <v>878</v>
      </c>
      <c r="G83" s="789"/>
      <c r="H83" s="1088"/>
      <c r="I83" s="789"/>
      <c r="J83" s="1088"/>
      <c r="K83" s="354"/>
      <c r="X83" s="823">
        <v>0</v>
      </c>
    </row>
    <row s="4921" customFormat="1" customHeight="1" ht="11.25" hidden="1">
      <c r="A84" s="2457"/>
      <c r="B84" s="576"/>
      <c r="D84" s="730" t="s">
        <v>937</v>
      </c>
      <c r="E84" s="788" t="s">
        <v>938</v>
      </c>
      <c r="F84" s="725" t="s">
        <v>878</v>
      </c>
      <c r="G84" s="789"/>
      <c r="H84" s="1088"/>
      <c r="I84" s="789"/>
      <c r="J84" s="1088"/>
      <c r="K84" s="354"/>
      <c r="X84" s="823">
        <v>0</v>
      </c>
    </row>
    <row s="4921" customFormat="1" customHeight="1" ht="11.25" hidden="1">
      <c r="A85" s="2457"/>
      <c r="B85" s="576"/>
      <c r="D85" s="730" t="s">
        <v>939</v>
      </c>
      <c r="E85" s="788" t="s">
        <v>940</v>
      </c>
      <c r="F85" s="725" t="s">
        <v>878</v>
      </c>
      <c r="G85" s="789"/>
      <c r="H85" s="1088"/>
      <c r="I85" s="789"/>
      <c r="J85" s="1088"/>
      <c r="K85" s="354"/>
      <c r="X85" s="823">
        <v>0</v>
      </c>
    </row>
    <row s="4921" customFormat="1" customHeight="1" ht="11.25" hidden="1">
      <c r="A86" s="2457"/>
      <c r="B86" s="576"/>
      <c r="D86" s="730" t="s">
        <v>941</v>
      </c>
      <c r="E86" s="788" t="s">
        <v>942</v>
      </c>
      <c r="F86" s="725" t="s">
        <v>878</v>
      </c>
      <c r="G86" s="789"/>
      <c r="H86" s="1088"/>
      <c r="I86" s="789"/>
      <c r="J86" s="1088"/>
      <c r="K86" s="354"/>
      <c r="X86" s="823">
        <v>0</v>
      </c>
    </row>
    <row s="4921" customFormat="1" customHeight="1" ht="45" hidden="1">
      <c r="A87" s="2457"/>
      <c r="B87" s="576"/>
      <c r="D87" s="730" t="s">
        <v>94</v>
      </c>
      <c r="E87" s="731" t="s">
        <v>943</v>
      </c>
      <c r="F87" s="725" t="s">
        <v>878</v>
      </c>
      <c r="G87" s="789"/>
      <c r="H87" s="1088"/>
      <c r="I87" s="789"/>
      <c r="J87" s="1088"/>
      <c r="K87" s="354" t="s">
        <v>944</v>
      </c>
      <c r="X87" s="823">
        <v>0</v>
      </c>
    </row>
    <row s="4921" customFormat="1" customHeight="1" ht="11.25" hidden="1">
      <c r="A88" s="2457"/>
      <c r="B88" s="576"/>
      <c r="D88" s="730" t="s">
        <v>773</v>
      </c>
      <c r="E88" s="788" t="s">
        <v>933</v>
      </c>
      <c r="F88" s="725" t="s">
        <v>878</v>
      </c>
      <c r="G88" s="789"/>
      <c r="H88" s="1088"/>
      <c r="I88" s="789"/>
      <c r="J88" s="1088"/>
      <c r="K88" s="354"/>
      <c r="X88" s="823">
        <v>0</v>
      </c>
    </row>
    <row s="4921" customFormat="1" customHeight="1" ht="11.25" hidden="1">
      <c r="A89" s="2457"/>
      <c r="B89" s="576"/>
      <c r="D89" s="730" t="s">
        <v>815</v>
      </c>
      <c r="E89" s="788" t="s">
        <v>934</v>
      </c>
      <c r="F89" s="725" t="s">
        <v>878</v>
      </c>
      <c r="G89" s="789"/>
      <c r="H89" s="1088"/>
      <c r="I89" s="789"/>
      <c r="J89" s="1088"/>
      <c r="K89" s="354"/>
      <c r="X89" s="823">
        <v>0</v>
      </c>
    </row>
    <row s="4921" customFormat="1" customHeight="1" ht="11.25" hidden="1">
      <c r="A90" s="2457"/>
      <c r="B90" s="576"/>
      <c r="D90" s="730" t="s">
        <v>818</v>
      </c>
      <c r="E90" s="788" t="s">
        <v>935</v>
      </c>
      <c r="F90" s="725" t="s">
        <v>878</v>
      </c>
      <c r="G90" s="789"/>
      <c r="H90" s="1088"/>
      <c r="I90" s="789"/>
      <c r="J90" s="1088"/>
      <c r="K90" s="354"/>
      <c r="X90" s="823">
        <v>0</v>
      </c>
    </row>
    <row s="4921" customFormat="1" customHeight="1" ht="11.25" hidden="1">
      <c r="A91" s="2457"/>
      <c r="B91" s="576"/>
      <c r="D91" s="730" t="s">
        <v>896</v>
      </c>
      <c r="E91" s="788" t="s">
        <v>936</v>
      </c>
      <c r="F91" s="725" t="s">
        <v>878</v>
      </c>
      <c r="G91" s="789"/>
      <c r="H91" s="1088"/>
      <c r="I91" s="789"/>
      <c r="J91" s="1088"/>
      <c r="K91" s="354"/>
      <c r="X91" s="823">
        <v>0</v>
      </c>
    </row>
    <row s="4921" customFormat="1" customHeight="1" ht="11.25" hidden="1">
      <c r="A92" s="2457"/>
      <c r="B92" s="576"/>
      <c r="D92" s="730" t="s">
        <v>898</v>
      </c>
      <c r="E92" s="788" t="s">
        <v>938</v>
      </c>
      <c r="F92" s="725" t="s">
        <v>878</v>
      </c>
      <c r="G92" s="789"/>
      <c r="H92" s="1088"/>
      <c r="I92" s="789"/>
      <c r="J92" s="1088"/>
      <c r="K92" s="354"/>
      <c r="X92" s="823">
        <v>0</v>
      </c>
    </row>
    <row s="4921" customFormat="1" customHeight="1" ht="11.25" hidden="1">
      <c r="A93" s="2457"/>
      <c r="B93" s="576"/>
      <c r="D93" s="730" t="s">
        <v>945</v>
      </c>
      <c r="E93" s="788" t="s">
        <v>940</v>
      </c>
      <c r="F93" s="725" t="s">
        <v>878</v>
      </c>
      <c r="G93" s="789"/>
      <c r="H93" s="1088"/>
      <c r="I93" s="789"/>
      <c r="J93" s="1088"/>
      <c r="K93" s="354"/>
      <c r="X93" s="823">
        <v>0</v>
      </c>
    </row>
    <row s="4921" customFormat="1" customHeight="1" ht="11.25" hidden="1">
      <c r="A94" s="2457"/>
      <c r="B94" s="576"/>
      <c r="D94" s="730" t="s">
        <v>946</v>
      </c>
      <c r="E94" s="788" t="s">
        <v>942</v>
      </c>
      <c r="F94" s="725" t="s">
        <v>878</v>
      </c>
      <c r="G94" s="789"/>
      <c r="H94" s="1088"/>
      <c r="I94" s="789"/>
      <c r="J94" s="1088"/>
      <c r="K94" s="354"/>
      <c r="X94" s="823">
        <v>0</v>
      </c>
    </row>
    <row s="4921" customFormat="1" customHeight="1" ht="24.75" hidden="1">
      <c r="A95" s="2457"/>
      <c r="B95" s="576"/>
      <c r="D95" s="730" t="s">
        <v>114</v>
      </c>
      <c r="E95" s="731" t="s">
        <v>947</v>
      </c>
      <c r="F95" s="790" t="s">
        <v>578</v>
      </c>
      <c r="G95" s="792"/>
      <c r="H95" s="1088"/>
      <c r="I95" s="792"/>
      <c r="J95" s="1088"/>
      <c r="K95" s="354" t="s">
        <v>948</v>
      </c>
      <c r="X95" s="823">
        <v>0</v>
      </c>
    </row>
    <row s="4921" customFormat="1" customHeight="1" ht="33.75" hidden="1">
      <c r="A96" s="2457"/>
      <c r="B96" s="576"/>
      <c r="D96" s="730" t="s">
        <v>95</v>
      </c>
      <c r="E96" s="731" t="s">
        <v>949</v>
      </c>
      <c r="F96" s="791" t="s">
        <v>839</v>
      </c>
      <c r="G96" s="793"/>
      <c r="H96" s="1088"/>
      <c r="I96" s="793"/>
      <c r="J96" s="1088"/>
      <c r="K96" s="354"/>
      <c r="X96" s="823">
        <v>0</v>
      </c>
    </row>
    <row s="4921" customFormat="1" customHeight="1" ht="22.5" hidden="1">
      <c r="A97" s="2457"/>
      <c r="B97" s="576" t="s">
        <v>608</v>
      </c>
      <c r="D97" s="730" t="s">
        <v>96</v>
      </c>
      <c r="E97" s="731" t="s">
        <v>950</v>
      </c>
      <c r="F97" s="791" t="s">
        <v>325</v>
      </c>
      <c r="G97" s="450"/>
      <c r="H97" s="1088"/>
      <c r="I97" s="450"/>
      <c r="J97" s="1088"/>
      <c r="K97" s="354" t="s">
        <v>651</v>
      </c>
      <c r="X97" s="823">
        <v>0</v>
      </c>
    </row>
    <row s="4921" customFormat="1" customHeight="1" ht="45" hidden="1">
      <c r="A98" s="2457"/>
      <c r="B98" s="576" t="s">
        <v>608</v>
      </c>
      <c r="D98" s="730" t="s">
        <v>951</v>
      </c>
      <c r="E98" s="732" t="s">
        <v>952</v>
      </c>
      <c r="F98" s="786" t="s">
        <v>325</v>
      </c>
      <c r="G98" s="450"/>
      <c r="H98" s="1088"/>
      <c r="I98" s="450"/>
      <c r="J98" s="1088"/>
      <c r="K98" s="354" t="s">
        <v>651</v>
      </c>
      <c r="X98" s="823">
        <v>0</v>
      </c>
    </row>
    <row s="4921" customFormat="1" customHeight="1" ht="95.25" hidden="1">
      <c r="A99" s="2457"/>
      <c r="B99" s="576" t="s">
        <v>608</v>
      </c>
      <c r="D99" s="730" t="s">
        <v>115</v>
      </c>
      <c r="E99" s="731" t="s">
        <v>953</v>
      </c>
      <c r="F99" s="786" t="s">
        <v>325</v>
      </c>
      <c r="G99" s="450"/>
      <c r="H99" s="1088"/>
      <c r="I99" s="450"/>
      <c r="J99" s="1088"/>
      <c r="K99" s="354" t="s">
        <v>651</v>
      </c>
      <c r="X99" s="823">
        <v>0</v>
      </c>
    </row>
    <row s="4921" customFormat="1" customHeight="1" ht="22.5" hidden="1">
      <c r="A100" s="2457"/>
      <c r="B100" s="576" t="s">
        <v>608</v>
      </c>
      <c r="D100" s="730" t="s">
        <v>151</v>
      </c>
      <c r="E100" s="731" t="s">
        <v>954</v>
      </c>
      <c r="F100" s="786" t="s">
        <v>325</v>
      </c>
      <c r="G100" s="450"/>
      <c r="H100" s="1088"/>
      <c r="I100" s="450"/>
      <c r="J100" s="1088"/>
      <c r="K100" s="354" t="s">
        <v>651</v>
      </c>
      <c r="X100" s="823">
        <v>0</v>
      </c>
    </row>
    <row s="4921" customFormat="1" customHeight="1" ht="11.549999999999999">
      <c r="A101" s="1098"/>
      <c r="B101" s="583"/>
      <c r="D101" s="1099"/>
      <c r="E101" s="1100"/>
      <c r="X101" s="574">
        <v>11</v>
      </c>
    </row>
    <row customHeight="1" ht="22.5" hidden="1">
      <c r="A102" s="601" t="s">
        <v>85</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B2954-129D-6C7F-015E-C7823667118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200" width="9.140625" hidden="1" customWidth="1"/>
    <col min="2" max="2" style="4921" width="9.140625" hidden="1" customWidth="1"/>
    <col min="3" max="3" style="4826" width="4.00390625" customWidth="1"/>
    <col min="4" max="4" style="4921" width="6.00390625" customWidth="1"/>
    <col min="5" max="5" style="4921" width="36.00390625" customWidth="1"/>
    <col min="6" max="6" style="4921" width="9.00390625" customWidth="1"/>
    <col min="7" max="7" style="4921" width="25.7109375" hidden="1" customWidth="1"/>
    <col min="8" max="8" style="4921" width="33.7109375" hidden="1" customWidth="1"/>
    <col min="9" max="9" style="4921" width="25.7109375" customWidth="1"/>
    <col min="10" max="10" style="4921" width="33.00390625" customWidth="1"/>
    <col min="11" max="11" style="4903" width="93.00390625" customWidth="1"/>
    <col min="12" max="20" style="4921" width="10.00390625" customWidth="1"/>
    <col min="21" max="21" style="4991" width="10.00390625" customWidth="1"/>
    <col min="22" max="22" style="4921" width="10.57421875" hidden="1"/>
  </cols>
  <sheetData>
    <row s="4903" customFormat="1" customHeight="1" ht="22.5" hidden="1">
      <c r="C1" s="737"/>
      <c r="G1" s="482">
        <v>4</v>
      </c>
      <c r="I1" s="482">
        <v>4</v>
      </c>
      <c r="U1" s="485"/>
      <c r="V1" s="482" t="s">
        <v>14</v>
      </c>
    </row>
    <row s="4903" customFormat="1" customHeight="1" ht="15" hidden="1">
      <c r="C2" s="737"/>
      <c r="U2" s="485"/>
      <c r="V2" s="482">
        <v>0</v>
      </c>
    </row>
    <row customHeight="1" ht="22.5" hidden="1">
      <c r="A3" s="570"/>
      <c r="B3" s="2462"/>
      <c r="C3" s="2463" t="s">
        <v>193</v>
      </c>
      <c r="D3" s="754" t="str">
        <f>B3&amp;".1"</f>
        <v>.1</v>
      </c>
      <c r="E3" s="755" t="s">
        <v>955</v>
      </c>
      <c r="F3" s="756" t="s">
        <v>325</v>
      </c>
      <c r="G3" s="751"/>
      <c r="H3" s="466"/>
      <c r="I3" s="751"/>
      <c r="J3" s="466"/>
      <c r="K3" s="354" t="s">
        <v>956</v>
      </c>
      <c r="V3" s="570">
        <v>0</v>
      </c>
    </row>
    <row customHeight="1" ht="15" hidden="1">
      <c r="A4" s="570"/>
      <c r="B4" s="2462"/>
      <c r="C4" s="2463"/>
      <c r="D4" s="754" t="str">
        <f>B3&amp;".2"</f>
        <v>.2</v>
      </c>
      <c r="E4" s="755" t="s">
        <v>957</v>
      </c>
      <c r="F4" s="756" t="s">
        <v>325</v>
      </c>
      <c r="G4" s="1803" t="s">
        <v>28</v>
      </c>
      <c r="H4" s="466"/>
      <c r="I4" s="1803" t="s">
        <v>28</v>
      </c>
      <c r="J4" s="466"/>
      <c r="K4" s="354" t="s">
        <v>958</v>
      </c>
      <c r="V4" s="570">
        <v>0</v>
      </c>
    </row>
    <row s="4903" customFormat="1" customHeight="1" ht="15" hidden="1">
      <c r="C5" s="737"/>
      <c r="U5" s="485"/>
      <c r="V5" s="482">
        <v>0</v>
      </c>
    </row>
    <row customHeight="1" ht="22.5" hidden="1">
      <c r="A6" s="570"/>
      <c r="B6" s="2462"/>
      <c r="C6" s="2463" t="s">
        <v>193</v>
      </c>
      <c r="D6" s="754" t="str">
        <f>B6&amp;".1"</f>
        <v>.1</v>
      </c>
      <c r="E6" s="755" t="s">
        <v>959</v>
      </c>
      <c r="F6" s="756" t="s">
        <v>325</v>
      </c>
      <c r="G6" s="751"/>
      <c r="H6" s="466"/>
      <c r="I6" s="751"/>
      <c r="J6" s="466"/>
      <c r="K6" s="354" t="s">
        <v>960</v>
      </c>
      <c r="V6" s="570">
        <v>0</v>
      </c>
    </row>
    <row customHeight="1" ht="15" hidden="1">
      <c r="A7" s="570"/>
      <c r="B7" s="2462"/>
      <c r="C7" s="2463"/>
      <c r="D7" s="754" t="str">
        <f>B6&amp;".2"</f>
        <v>.2</v>
      </c>
      <c r="E7" s="755" t="s">
        <v>957</v>
      </c>
      <c r="F7" s="756" t="s">
        <v>325</v>
      </c>
      <c r="G7" s="1803" t="s">
        <v>28</v>
      </c>
      <c r="H7" s="466"/>
      <c r="I7" s="1803" t="s">
        <v>28</v>
      </c>
      <c r="J7" s="466"/>
      <c r="K7" s="354" t="s">
        <v>958</v>
      </c>
      <c r="V7" s="570">
        <v>0</v>
      </c>
    </row>
    <row s="4903" customFormat="1" customHeight="1" ht="15" hidden="1">
      <c r="C8" s="737"/>
      <c r="U8" s="485"/>
      <c r="V8" s="482">
        <v>0</v>
      </c>
    </row>
    <row customHeight="1" ht="22.5" hidden="1">
      <c r="A9" s="570"/>
      <c r="B9" s="2462"/>
      <c r="C9" s="2463" t="s">
        <v>193</v>
      </c>
      <c r="D9" s="754" t="str">
        <f>B9&amp;".1"</f>
        <v>.1</v>
      </c>
      <c r="E9" s="755" t="s">
        <v>961</v>
      </c>
      <c r="F9" s="756" t="s">
        <v>325</v>
      </c>
      <c r="G9" s="762" t="s">
        <v>28</v>
      </c>
      <c r="H9" s="466" t="s">
        <v>28</v>
      </c>
      <c r="I9" s="762" t="s">
        <v>28</v>
      </c>
      <c r="J9" s="466" t="s">
        <v>28</v>
      </c>
      <c r="K9" s="354"/>
      <c r="V9" s="570">
        <v>0</v>
      </c>
    </row>
    <row customHeight="1" ht="15" hidden="1">
      <c r="A10" s="570"/>
      <c r="B10" s="2462"/>
      <c r="C10" s="2463"/>
      <c r="D10" s="754" t="str">
        <f>B9&amp;".2"</f>
        <v>.2</v>
      </c>
      <c r="E10" s="755" t="s">
        <v>962</v>
      </c>
      <c r="F10" s="756" t="s">
        <v>325</v>
      </c>
      <c r="G10" s="1797" t="s">
        <v>28</v>
      </c>
      <c r="H10" s="466" t="s">
        <v>28</v>
      </c>
      <c r="I10" s="1797" t="s">
        <v>28</v>
      </c>
      <c r="J10" s="466" t="s">
        <v>28</v>
      </c>
      <c r="K10" s="354" t="s">
        <v>963</v>
      </c>
      <c r="V10" s="570">
        <v>0</v>
      </c>
    </row>
    <row customHeight="1" ht="15" hidden="1">
      <c r="A11" s="570"/>
      <c r="B11" s="2462"/>
      <c r="C11" s="2463"/>
      <c r="D11" s="754" t="str">
        <f>B9&amp;".3"</f>
        <v>.3</v>
      </c>
      <c r="E11" s="755" t="s">
        <v>964</v>
      </c>
      <c r="F11" s="756" t="s">
        <v>325</v>
      </c>
      <c r="G11" s="1797" t="s">
        <v>28</v>
      </c>
      <c r="H11" s="466" t="s">
        <v>28</v>
      </c>
      <c r="I11" s="1797" t="s">
        <v>28</v>
      </c>
      <c r="J11" s="466" t="s">
        <v>28</v>
      </c>
      <c r="K11" s="354" t="s">
        <v>965</v>
      </c>
      <c r="V11" s="570">
        <v>0</v>
      </c>
    </row>
    <row s="4903" customFormat="1" customHeight="1" ht="15" hidden="1">
      <c r="C12" s="737"/>
      <c r="U12" s="485"/>
      <c r="V12" s="482">
        <v>0</v>
      </c>
    </row>
    <row customHeight="1" ht="33.75" hidden="1">
      <c r="A13" s="570"/>
      <c r="B13" s="2462"/>
      <c r="C13" s="2463" t="s">
        <v>193</v>
      </c>
      <c r="D13" s="754" t="str">
        <f>B13&amp;".1"</f>
        <v>.1</v>
      </c>
      <c r="E13" s="755" t="s">
        <v>966</v>
      </c>
      <c r="F13" s="756" t="s">
        <v>325</v>
      </c>
      <c r="G13" s="762" t="s">
        <v>28</v>
      </c>
      <c r="H13" s="466" t="s">
        <v>28</v>
      </c>
      <c r="I13" s="762" t="s">
        <v>28</v>
      </c>
      <c r="J13" s="466" t="s">
        <v>28</v>
      </c>
      <c r="K13" s="354" t="s">
        <v>967</v>
      </c>
      <c r="V13" s="570">
        <v>0</v>
      </c>
    </row>
    <row customHeight="1" ht="15" hidden="1">
      <c r="B14" s="2462"/>
      <c r="C14" s="2463"/>
      <c r="D14" s="754" t="str">
        <f>B13&amp;".2"</f>
        <v>.2</v>
      </c>
      <c r="E14" s="755" t="s">
        <v>968</v>
      </c>
      <c r="F14" s="756" t="s">
        <v>325</v>
      </c>
      <c r="G14" s="1797" t="s">
        <v>28</v>
      </c>
      <c r="H14" s="466" t="s">
        <v>28</v>
      </c>
      <c r="I14" s="1797" t="s">
        <v>28</v>
      </c>
      <c r="J14" s="466" t="s">
        <v>28</v>
      </c>
      <c r="K14" s="354" t="s">
        <v>969</v>
      </c>
      <c r="V14" s="570">
        <v>0</v>
      </c>
    </row>
    <row s="4903" customFormat="1" customHeight="1" ht="15" hidden="1">
      <c r="C15" s="737"/>
      <c r="U15" s="485"/>
      <c r="V15" s="482">
        <v>0</v>
      </c>
    </row>
    <row s="4903" customFormat="1" customHeight="1" ht="15" hidden="1">
      <c r="C16" s="737"/>
      <c r="U16" s="485"/>
      <c r="V16" s="482">
        <v>0</v>
      </c>
    </row>
    <row s="4903" customFormat="1" customHeight="1" ht="15" hidden="1">
      <c r="C17" s="737"/>
      <c r="U17" s="485"/>
      <c r="V17" s="482">
        <v>0</v>
      </c>
    </row>
    <row s="4903" customFormat="1" customHeight="1" ht="15" hidden="1">
      <c r="C18" s="737"/>
      <c r="U18" s="485"/>
      <c r="V18" s="482">
        <v>0</v>
      </c>
    </row>
    <row s="4903" customFormat="1" customHeight="1" ht="15" hidden="1">
      <c r="C19" s="737"/>
      <c r="U19" s="485"/>
      <c r="V19" s="482">
        <v>0</v>
      </c>
    </row>
    <row s="4903"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602"/>
      <c r="V22" s="570">
        <v>22</v>
      </c>
    </row>
    <row customHeight="1" ht="15.75">
      <c r="C23" s="241"/>
      <c r="D23" s="2241" t="str">
        <f>IF(org=0,"Не определено",org)</f>
        <v>Филиал ПАО "ОГК-2"-Ставропольская ГРЭС</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921" customFormat="1" customHeight="1" ht="1.05">
      <c r="A25" s="824"/>
      <c r="C25" s="241"/>
      <c r="D25" s="574"/>
      <c r="E25" s="574"/>
      <c r="F25" s="574"/>
      <c r="G25" s="602"/>
      <c r="H25" s="817"/>
      <c r="I25" s="602" t="s">
        <v>120</v>
      </c>
      <c r="J25" s="817"/>
      <c r="K25" s="482"/>
      <c r="U25" s="740"/>
      <c r="V25" s="823">
        <v>1</v>
      </c>
    </row>
    <row customHeight="1" ht="15.75">
      <c r="C26" s="241"/>
      <c r="D26" s="776"/>
      <c r="E26" s="2432" t="s">
        <v>108</v>
      </c>
      <c r="F26" s="2433"/>
      <c r="G26" s="2460" t="str">
        <f>IF(G25="","",INDEX(DIFFERENTIATION_UNMERGE_VD,MATCH(G25,DIFFERENTIATION_ID_DIFF,0)))</f>
        <v/>
      </c>
      <c r="H26" s="2461"/>
      <c r="I26" s="2460">
        <f>IF(I25="","",INDEX(DIFFERENTIATION_UNMERGE_VD,MATCH(I25,DIFFERENTIATION_ID_DIFF,0)))</f>
        <v>0</v>
      </c>
      <c r="J26" s="2461"/>
      <c r="K26" s="2240" t="s">
        <v>320</v>
      </c>
      <c r="V26" s="570">
        <v>15</v>
      </c>
    </row>
    <row s="4921" customFormat="1" customHeight="1" ht="15.75">
      <c r="A27" s="824"/>
      <c r="C27" s="241"/>
      <c r="D27" s="776"/>
      <c r="E27" s="2432" t="s">
        <v>584</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921" customFormat="1" customHeight="1" ht="15.75">
      <c r="A28" s="824"/>
      <c r="C28" s="241"/>
      <c r="D28" s="776"/>
      <c r="E28" s="2432" t="s">
        <v>585</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921" customFormat="1" customHeight="1" ht="15.75">
      <c r="A29" s="824"/>
      <c r="C29" s="241"/>
      <c r="D29" s="2434" t="s">
        <v>319</v>
      </c>
      <c r="E29" s="2435"/>
      <c r="F29" s="2435"/>
      <c r="G29" s="952"/>
      <c r="H29" s="952"/>
      <c r="I29" s="952"/>
      <c r="J29" s="953"/>
      <c r="K29" s="2260"/>
      <c r="U29" s="740"/>
      <c r="V29" s="823">
        <v>15</v>
      </c>
    </row>
    <row customHeight="1" ht="35.699999999999996">
      <c r="C30" s="241"/>
      <c r="D30" s="826" t="s">
        <v>91</v>
      </c>
      <c r="E30" s="825" t="s">
        <v>321</v>
      </c>
      <c r="F30" s="825" t="s">
        <v>586</v>
      </c>
      <c r="G30" s="873" t="s">
        <v>322</v>
      </c>
      <c r="H30" s="872" t="s">
        <v>409</v>
      </c>
      <c r="I30" s="749" t="s">
        <v>322</v>
      </c>
      <c r="J30" s="530" t="s">
        <v>409</v>
      </c>
      <c r="K30" s="2266"/>
      <c r="V30" s="570">
        <v>34</v>
      </c>
    </row>
    <row customHeight="1" ht="15" hidden="1">
      <c r="C31" s="241"/>
      <c r="D31" s="658"/>
      <c r="E31" s="658"/>
      <c r="F31" s="658"/>
      <c r="G31" s="724"/>
      <c r="H31" s="724"/>
      <c r="I31" s="724"/>
      <c r="J31" s="724"/>
      <c r="K31" s="354"/>
      <c r="V31" s="570">
        <v>0</v>
      </c>
    </row>
    <row customHeight="1" ht="24">
      <c r="A32" s="570"/>
      <c r="B32" s="570" t="s">
        <v>970</v>
      </c>
      <c r="C32" s="591"/>
      <c r="D32" s="757">
        <v>1</v>
      </c>
      <c r="E32" s="758" t="s">
        <v>971</v>
      </c>
      <c r="F32" s="756" t="s">
        <v>325</v>
      </c>
      <c r="G32" s="878" t="s">
        <v>325</v>
      </c>
      <c r="H32" s="878" t="s">
        <v>325</v>
      </c>
      <c r="I32" s="756" t="s">
        <v>325</v>
      </c>
      <c r="J32" s="756" t="s">
        <v>325</v>
      </c>
      <c r="K32" s="354"/>
      <c r="V32" s="570">
        <v>23</v>
      </c>
    </row>
    <row customHeight="1" ht="11.549999999999999">
      <c r="A33" s="570"/>
      <c r="C33" s="570"/>
      <c r="D33" s="412"/>
      <c r="E33" s="645" t="s">
        <v>606</v>
      </c>
      <c r="F33" s="637"/>
      <c r="G33" s="637"/>
      <c r="H33" s="637"/>
      <c r="I33" s="637"/>
      <c r="J33" s="637"/>
      <c r="K33" s="638"/>
      <c r="U33" s="570"/>
      <c r="V33" s="570">
        <v>11</v>
      </c>
    </row>
    <row customHeight="1" ht="24">
      <c r="A34" s="570"/>
      <c r="B34" s="646" t="s">
        <v>656</v>
      </c>
      <c r="C34" s="591"/>
      <c r="D34" s="757">
        <v>2</v>
      </c>
      <c r="E34" s="758" t="s">
        <v>972</v>
      </c>
      <c r="F34" s="885" t="s">
        <v>325</v>
      </c>
      <c r="G34" s="885" t="s">
        <v>325</v>
      </c>
      <c r="H34" s="885" t="s">
        <v>325</v>
      </c>
      <c r="I34" s="756"/>
      <c r="J34" s="756"/>
      <c r="K34" s="354"/>
      <c r="V34" s="570">
        <v>23</v>
      </c>
    </row>
    <row customHeight="1" ht="11.549999999999999">
      <c r="A35" s="570"/>
      <c r="C35" s="570"/>
      <c r="D35" s="412"/>
      <c r="E35" s="645" t="s">
        <v>973</v>
      </c>
      <c r="F35" s="637"/>
      <c r="G35" s="759"/>
      <c r="H35" s="637"/>
      <c r="I35" s="759"/>
      <c r="J35" s="637"/>
      <c r="K35" s="638"/>
      <c r="U35" s="570"/>
      <c r="V35" s="570">
        <v>11</v>
      </c>
    </row>
    <row customHeight="1" ht="71.25">
      <c r="A36" s="570"/>
      <c r="B36" s="570" t="s">
        <v>974</v>
      </c>
      <c r="C36" s="591"/>
      <c r="D36" s="757">
        <v>3</v>
      </c>
      <c r="E36" s="758" t="s">
        <v>975</v>
      </c>
      <c r="F36" s="760" t="s">
        <v>325</v>
      </c>
      <c r="G36" s="879" t="s">
        <v>976</v>
      </c>
      <c r="H36" s="878" t="s">
        <v>325</v>
      </c>
      <c r="I36" s="589" t="s">
        <v>976</v>
      </c>
      <c r="J36" s="756" t="s">
        <v>325</v>
      </c>
      <c r="K36" s="354" t="s">
        <v>977</v>
      </c>
      <c r="V36" s="570">
        <v>68</v>
      </c>
    </row>
    <row customHeight="1" ht="11.549999999999999">
      <c r="A37" s="570"/>
      <c r="C37" s="570"/>
      <c r="D37" s="412"/>
      <c r="E37" s="645" t="s">
        <v>978</v>
      </c>
      <c r="F37" s="637"/>
      <c r="G37" s="759"/>
      <c r="H37" s="759"/>
      <c r="I37" s="759"/>
      <c r="J37" s="759"/>
      <c r="K37" s="638"/>
      <c r="U37" s="570"/>
      <c r="V37" s="570">
        <v>11</v>
      </c>
    </row>
    <row customHeight="1" ht="71.25">
      <c r="A38" s="570"/>
      <c r="B38" s="570" t="s">
        <v>979</v>
      </c>
      <c r="C38" s="591"/>
      <c r="D38" s="757">
        <v>4</v>
      </c>
      <c r="E38" s="758" t="s">
        <v>980</v>
      </c>
      <c r="F38" s="760" t="s">
        <v>325</v>
      </c>
      <c r="G38" s="879" t="s">
        <v>976</v>
      </c>
      <c r="H38" s="880" t="s">
        <v>325</v>
      </c>
      <c r="I38" s="589" t="s">
        <v>976</v>
      </c>
      <c r="J38" s="586" t="s">
        <v>325</v>
      </c>
      <c r="K38" s="744" t="s">
        <v>981</v>
      </c>
      <c r="V38" s="570">
        <v>68</v>
      </c>
    </row>
    <row customHeight="1" ht="11.549999999999999">
      <c r="A39" s="570"/>
      <c r="C39" s="570"/>
      <c r="D39" s="412"/>
      <c r="E39" s="645" t="s">
        <v>982</v>
      </c>
      <c r="F39" s="637"/>
      <c r="G39" s="637"/>
      <c r="H39" s="761"/>
      <c r="I39" s="637"/>
      <c r="J39" s="761"/>
      <c r="K39" s="638"/>
      <c r="U39" s="570"/>
      <c r="V39" s="570">
        <v>11</v>
      </c>
    </row>
    <row customHeight="1" ht="22.5" hidden="1">
      <c r="A40" s="514" t="s">
        <v>85</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75842-330B-A10A-5F5A-DCB46B653C3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658" width="6.7109375" hidden="1" customWidth="1"/>
    <col min="4" max="4" style="4903" width="6.7109375" hidden="1" customWidth="1"/>
    <col min="5" max="5" style="4921" width="3.00390625" customWidth="1"/>
    <col min="6" max="6" style="4921" width="6.00390625" customWidth="1"/>
    <col min="7" max="7" style="4921" width="37.00390625" customWidth="1"/>
    <col min="8" max="8" style="4921" width="16.00390625" customWidth="1"/>
    <col min="9" max="10" style="4921" width="19.00390625" customWidth="1"/>
    <col min="11" max="11" style="4921" width="24.00390625" customWidth="1"/>
    <col min="12" max="13" style="4921" width="25.00390625" customWidth="1"/>
    <col min="14" max="16" style="4921" width="17.00390625" customWidth="1"/>
    <col min="17" max="24" style="4921" width="19.00390625" customWidth="1"/>
    <col min="25" max="25" style="4921" width="7.00390625" customWidth="1"/>
    <col min="26" max="26" style="4921" width="3.00390625" customWidth="1"/>
    <col min="27" max="27" style="4921" width="6.00390625" customWidth="1"/>
    <col min="28" max="28" style="4921" width="34.00390625" customWidth="1"/>
    <col min="29" max="30" style="4921" width="8.00390625" customWidth="1"/>
    <col min="31" max="31" style="4921" width="9.140625" hidden="1"/>
  </cols>
  <sheetData>
    <row s="4903" customFormat="1" customHeight="1" ht="10.5" hidden="1">
      <c r="A1" s="960"/>
      <c r="B1" s="960"/>
      <c r="C1" s="960"/>
      <c r="E1" s="602"/>
      <c r="H1" s="1225"/>
      <c r="AE1" s="482" t="s">
        <v>14</v>
      </c>
    </row>
    <row customHeight="1" ht="10.5" hidden="1">
      <c r="AE2" s="823">
        <v>0</v>
      </c>
    </row>
    <row s="5200" customFormat="1" customHeight="1" ht="10.5" hidden="1">
      <c r="A3" s="960"/>
      <c r="B3" s="960"/>
      <c r="C3" s="960"/>
      <c r="D3" s="482"/>
      <c r="E3" s="427"/>
      <c r="G3" s="1697" t="s">
        <v>983</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921" customFormat="1" customHeight="1" ht="16.8">
      <c r="A6" s="1231"/>
      <c r="B6" s="1231"/>
      <c r="C6" s="1231"/>
      <c r="D6" s="1225"/>
      <c r="E6" s="1700"/>
      <c r="F6" s="2314" t="str">
        <f>IF(org=0,"Не определено",org)</f>
        <v>Филиал ПАО "ОГК-2"-Ставропольская ГРЭС</v>
      </c>
      <c r="G6" s="2314"/>
      <c r="H6" s="2314"/>
      <c r="I6" s="2314"/>
      <c r="J6" s="2314"/>
      <c r="K6" s="2314"/>
      <c r="M6" s="647"/>
      <c r="AB6" s="1213"/>
      <c r="AE6" s="1696">
        <v>16</v>
      </c>
    </row>
    <row customHeight="1" ht="10.5">
      <c r="AE7" s="823">
        <v>10</v>
      </c>
    </row>
    <row customHeight="1" ht="10.5">
      <c r="A8" s="1116"/>
      <c r="B8" s="1116"/>
      <c r="C8" s="1116"/>
      <c r="F8" s="2166" t="s">
        <v>319</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91</v>
      </c>
      <c r="G9" s="2192" t="s">
        <v>983</v>
      </c>
      <c r="H9" s="2240" t="s">
        <v>984</v>
      </c>
      <c r="I9" s="2192" t="s">
        <v>985</v>
      </c>
      <c r="J9" s="2192" t="s">
        <v>986</v>
      </c>
      <c r="K9" s="2192" t="s">
        <v>987</v>
      </c>
      <c r="L9" s="2192" t="s">
        <v>988</v>
      </c>
      <c r="M9" s="2192" t="s">
        <v>989</v>
      </c>
      <c r="N9" s="2274" t="s">
        <v>990</v>
      </c>
      <c r="O9" s="2274"/>
      <c r="P9" s="2274"/>
      <c r="Q9" s="2464" t="s">
        <v>991</v>
      </c>
      <c r="R9" s="2465"/>
      <c r="S9" s="2465"/>
      <c r="T9" s="2466"/>
      <c r="U9" s="2464" t="s">
        <v>992</v>
      </c>
      <c r="V9" s="2465"/>
      <c r="W9" s="2465"/>
      <c r="X9" s="2466"/>
      <c r="Y9" s="2166" t="s">
        <v>993</v>
      </c>
      <c r="Z9" s="2167"/>
      <c r="AA9" s="2167"/>
      <c r="AB9" s="2168"/>
      <c r="AE9" s="823">
        <v>41</v>
      </c>
    </row>
    <row customHeight="1" ht="43.050000000000004">
      <c r="A10" s="970"/>
      <c r="B10" s="970"/>
      <c r="C10" s="970"/>
      <c r="F10" s="2240"/>
      <c r="G10" s="2240"/>
      <c r="H10" s="2297"/>
      <c r="I10" s="2240"/>
      <c r="J10" s="2240"/>
      <c r="K10" s="2240"/>
      <c r="L10" s="2240"/>
      <c r="M10" s="2240"/>
      <c r="N10" s="968" t="s">
        <v>994</v>
      </c>
      <c r="O10" s="968" t="s">
        <v>995</v>
      </c>
      <c r="P10" s="969" t="s">
        <v>996</v>
      </c>
      <c r="Q10" s="980" t="s">
        <v>92</v>
      </c>
      <c r="R10" s="980" t="s">
        <v>997</v>
      </c>
      <c r="S10" s="980" t="s">
        <v>998</v>
      </c>
      <c r="T10" s="981" t="s">
        <v>999</v>
      </c>
      <c r="U10" s="980" t="s">
        <v>92</v>
      </c>
      <c r="V10" s="980" t="s">
        <v>1000</v>
      </c>
      <c r="W10" s="980" t="s">
        <v>998</v>
      </c>
      <c r="X10" s="981" t="s">
        <v>999</v>
      </c>
      <c r="Y10" s="366" t="s">
        <v>1001</v>
      </c>
      <c r="Z10" s="2166" t="s">
        <v>91</v>
      </c>
      <c r="AA10" s="2168"/>
      <c r="AB10" s="1114" t="s">
        <v>1002</v>
      </c>
      <c r="AE10" s="823">
        <v>41</v>
      </c>
    </row>
    <row s="4423" customFormat="1" customHeight="1" ht="5.25" hidden="1">
      <c r="A11" s="1117"/>
      <c r="B11" s="1117"/>
      <c r="C11" s="1117"/>
      <c r="E11" s="1115"/>
      <c r="F11" s="2471" t="s">
        <v>395</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1003</v>
      </c>
      <c r="AE11" s="576">
        <v>0</v>
      </c>
    </row>
    <row s="4423"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1004</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423" customFormat="1" customHeight="1" ht="10.5">
      <c r="A15" s="1232"/>
      <c r="B15" s="1232"/>
      <c r="C15" s="1232"/>
      <c r="E15" s="583"/>
      <c r="H15" s="576">
        <f>_xlfn.IFERROR(MATCH("нет",IP_MAIN_DIFFERENTIATION_EVENTS_FLAG,0),0)</f>
        <v>0</v>
      </c>
      <c r="AE15" s="576">
        <v>10</v>
      </c>
    </row>
    <row customHeight="1" ht="10.5" hidden="1">
      <c r="A16" s="960" t="s">
        <v>85</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2BDA2-2147-CE2E-13F8-2912242F49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658" width="4.140625" hidden="1" customWidth="1"/>
    <col min="4" max="4" style="4903" width="4.140625" hidden="1" customWidth="1"/>
    <col min="5" max="5" style="4921" width="3.00390625" customWidth="1"/>
    <col min="6" max="6" style="4921" width="14.00390625" customWidth="1"/>
    <col min="7" max="7" style="4921" width="3.00390625" customWidth="1"/>
    <col min="8" max="8" style="4921" width="7.00390625" customWidth="1"/>
    <col min="9" max="10" style="4921" width="16.00390625" customWidth="1"/>
    <col min="11" max="11" style="4921" width="25.00390625" customWidth="1"/>
    <col min="12" max="12" style="4921" width="7.00390625" customWidth="1"/>
    <col min="13" max="13" style="4921" width="15.00390625" customWidth="1"/>
    <col min="14" max="14" style="4921" width="3.00390625" customWidth="1"/>
    <col min="15" max="15" style="4921" width="4.00390625" customWidth="1"/>
    <col min="16" max="16" style="4921" width="8.00390625" customWidth="1"/>
    <col min="17" max="17" style="4921" width="21.00390625" customWidth="1"/>
    <col min="18" max="18" style="4921" width="14.00390625" customWidth="1"/>
    <col min="19" max="20" style="4921" width="17.00390625" customWidth="1"/>
    <col min="21" max="21" style="4921" width="9.00390625" customWidth="1"/>
    <col min="22" max="22" style="4921" width="12.00390625" customWidth="1"/>
    <col min="23" max="23" style="4921" width="9.00390625" customWidth="1"/>
    <col min="24" max="24" style="4921" width="21.00390625" customWidth="1"/>
    <col min="25" max="25" style="4921" width="12.00390625" customWidth="1"/>
    <col min="26" max="26" style="4921" width="3.00390625" customWidth="1"/>
    <col min="27" max="27" style="4921" width="6.00390625" customWidth="1"/>
    <col min="28" max="28" style="4921" width="38.00390625" customWidth="1"/>
    <col min="29" max="29" style="4921" width="15.00390625" customWidth="1"/>
    <col min="30" max="30" style="4921" width="37.57421875" hidden="1" customWidth="1"/>
    <col min="31" max="31" style="4921" width="15.7109375" hidden="1" customWidth="1"/>
    <col min="32" max="34" style="4921" width="16.00390625" customWidth="1"/>
    <col min="35" max="37" style="4921" width="16.7109375" hidden="1" customWidth="1"/>
    <col min="38" max="58" style="4921" width="8.00390625" customWidth="1"/>
    <col min="59" max="59" style="4921" width="9.140625" hidden="1"/>
  </cols>
  <sheetData>
    <row s="4903" customFormat="1" customHeight="1" ht="10.5" hidden="1">
      <c r="A1" s="960"/>
      <c r="B1" s="960"/>
      <c r="C1" s="960"/>
      <c r="E1" s="602"/>
      <c r="H1" s="1225"/>
      <c r="L1" s="1193"/>
      <c r="M1" s="1193"/>
      <c r="AD1" s="1193"/>
      <c r="AH1" s="1212"/>
      <c r="AI1" s="1205"/>
      <c r="BG1" s="482" t="s">
        <v>14</v>
      </c>
    </row>
    <row customHeight="1" ht="10.5" hidden="1">
      <c r="BG2" s="823">
        <v>0</v>
      </c>
    </row>
    <row s="5200"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Филиал ПАО "ОГК-2"-Ставропольская ГРЭС</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319</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1005</v>
      </c>
      <c r="G9" s="2474" t="s">
        <v>1006</v>
      </c>
      <c r="H9" s="2475"/>
      <c r="I9" s="2192" t="s">
        <v>1007</v>
      </c>
      <c r="J9" s="2192"/>
      <c r="K9" s="2192" t="s">
        <v>1008</v>
      </c>
      <c r="L9" s="2192"/>
      <c r="M9" s="2192"/>
      <c r="N9" s="2192"/>
      <c r="O9" s="2192"/>
      <c r="P9" s="2192"/>
      <c r="Q9" s="2192"/>
      <c r="R9" s="2192"/>
      <c r="S9" s="2192"/>
      <c r="T9" s="2192"/>
      <c r="U9" s="2192"/>
      <c r="V9" s="2192"/>
      <c r="W9" s="2192"/>
      <c r="X9" s="2192"/>
      <c r="Y9" s="2192"/>
      <c r="Z9" s="2257" t="s">
        <v>1009</v>
      </c>
      <c r="AA9" s="2258"/>
      <c r="AB9" s="2192" t="s">
        <v>1010</v>
      </c>
      <c r="AC9" s="2192"/>
      <c r="AD9" s="2192"/>
      <c r="AE9" s="2192"/>
      <c r="AF9" s="2240" t="s">
        <v>1011</v>
      </c>
      <c r="AG9" s="2192" t="s">
        <v>1012</v>
      </c>
      <c r="AH9" s="2192"/>
      <c r="AI9" s="2240" t="s">
        <v>1013</v>
      </c>
      <c r="AJ9" s="2192" t="s">
        <v>1014</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1015</v>
      </c>
      <c r="L10" s="2166" t="s">
        <v>1016</v>
      </c>
      <c r="M10" s="2168"/>
      <c r="N10" s="2192" t="s">
        <v>1017</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921" customFormat="1" customHeight="1" ht="25.2">
      <c r="A11" s="1194"/>
      <c r="B11" s="1194"/>
      <c r="C11" s="1194"/>
      <c r="D11" s="1193"/>
      <c r="E11" s="1195"/>
      <c r="F11" s="2473"/>
      <c r="G11" s="2476"/>
      <c r="H11" s="2477"/>
      <c r="I11" s="2192"/>
      <c r="J11" s="2192"/>
      <c r="K11" s="2192"/>
      <c r="L11" s="2240" t="s">
        <v>1018</v>
      </c>
      <c r="M11" s="2240" t="s">
        <v>1019</v>
      </c>
      <c r="N11" s="2192" t="s">
        <v>1020</v>
      </c>
      <c r="O11" s="2192"/>
      <c r="P11" s="2483" t="s">
        <v>1001</v>
      </c>
      <c r="Q11" s="2483" t="s">
        <v>1021</v>
      </c>
      <c r="R11" s="2483" t="s">
        <v>1022</v>
      </c>
      <c r="S11" s="2483" t="s">
        <v>1023</v>
      </c>
      <c r="T11" s="2483"/>
      <c r="U11" s="2483"/>
      <c r="V11" s="2483"/>
      <c r="W11" s="2483"/>
      <c r="X11" s="2483"/>
      <c r="Y11" s="2483"/>
      <c r="Z11" s="2259"/>
      <c r="AA11" s="2260"/>
      <c r="AB11" s="2192" t="s">
        <v>1024</v>
      </c>
      <c r="AC11" s="2192"/>
      <c r="AD11" s="2166" t="s">
        <v>1025</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92</v>
      </c>
      <c r="J12" s="1218" t="s">
        <v>1026</v>
      </c>
      <c r="K12" s="2192"/>
      <c r="L12" s="2297"/>
      <c r="M12" s="2297"/>
      <c r="N12" s="2192"/>
      <c r="O12" s="2192"/>
      <c r="P12" s="2483"/>
      <c r="Q12" s="2483"/>
      <c r="R12" s="2483"/>
      <c r="S12" s="1199" t="s">
        <v>89</v>
      </c>
      <c r="T12" s="1199" t="s">
        <v>90</v>
      </c>
      <c r="U12" s="1199" t="s">
        <v>88</v>
      </c>
      <c r="V12" s="1199" t="s">
        <v>1027</v>
      </c>
      <c r="W12" s="1199" t="s">
        <v>88</v>
      </c>
      <c r="X12" s="1199" t="s">
        <v>1028</v>
      </c>
      <c r="Y12" s="1199" t="s">
        <v>1029</v>
      </c>
      <c r="Z12" s="2265"/>
      <c r="AA12" s="2266"/>
      <c r="AB12" s="1206" t="s">
        <v>1030</v>
      </c>
      <c r="AC12" s="1206" t="s">
        <v>1031</v>
      </c>
      <c r="AD12" s="1206" t="s">
        <v>1030</v>
      </c>
      <c r="AE12" s="1206" t="s">
        <v>1031</v>
      </c>
      <c r="AF12" s="2297"/>
      <c r="AG12" s="1219" t="s">
        <v>1032</v>
      </c>
      <c r="AH12" s="1219" t="s">
        <v>1033</v>
      </c>
      <c r="AI12" s="2297"/>
      <c r="AJ12" s="1219" t="s">
        <v>1032</v>
      </c>
      <c r="AK12" s="1219" t="s">
        <v>1033</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1034</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85</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BEFCB-3BE1-F2F7-6CFA-E01F5667D23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658" width="4.140625" hidden="1" customWidth="1"/>
    <col min="4" max="4" style="4903" width="4.140625" hidden="1" customWidth="1"/>
    <col min="5" max="5" style="4921" width="3.00390625" customWidth="1"/>
    <col min="6" max="6" style="4921" width="6.00390625" customWidth="1"/>
    <col min="7" max="7" style="4921" width="60.00390625" customWidth="1"/>
    <col min="8" max="9" style="4921" width="21.7109375" hidden="1" customWidth="1"/>
    <col min="10" max="10" style="4921" width="0.140625" customWidth="1"/>
    <col min="11" max="11" style="4921" width="1.00390625" customWidth="1"/>
    <col min="12" max="22" style="4921" width="8.00390625" customWidth="1"/>
    <col min="23" max="23" style="4921" width="9.140625" hidden="1"/>
  </cols>
  <sheetData>
    <row s="4903" customFormat="1" customHeight="1" ht="10.5" hidden="1">
      <c r="A1" s="1231"/>
      <c r="B1" s="1231"/>
      <c r="C1" s="1231"/>
      <c r="E1" s="602"/>
      <c r="W1" s="1225" t="s">
        <v>14</v>
      </c>
    </row>
    <row customHeight="1" ht="10.5" hidden="1">
      <c r="W2" s="1220">
        <v>0</v>
      </c>
    </row>
    <row s="5200"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Филиал ПАО "ОГК-2"-Ставропольская ГРЭС</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423"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319</v>
      </c>
      <c r="G9" s="2485"/>
      <c r="H9" s="2485"/>
      <c r="I9" s="2485"/>
      <c r="J9" s="2485"/>
      <c r="K9" s="1305"/>
      <c r="L9" s="1222"/>
      <c r="M9" s="1222"/>
      <c r="N9" s="1222"/>
      <c r="O9" s="1222"/>
      <c r="P9" s="1222"/>
      <c r="Q9" s="1222"/>
      <c r="R9" s="1222"/>
      <c r="S9" s="1222"/>
      <c r="T9" s="1222"/>
      <c r="U9" s="1222"/>
      <c r="V9" s="1222"/>
      <c r="W9" s="1220">
        <v>10</v>
      </c>
    </row>
    <row customHeight="1" ht="25.2">
      <c r="E10" s="1222"/>
      <c r="F10" s="2488" t="s">
        <v>91</v>
      </c>
      <c r="G10" s="2493" t="s">
        <v>1035</v>
      </c>
      <c r="H10" s="2491" t="s">
        <v>1036</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1037</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1038</v>
      </c>
      <c r="G14" s="2486" t="s">
        <v>1039</v>
      </c>
      <c r="H14" s="2486"/>
      <c r="I14" s="2486"/>
      <c r="J14" s="2486"/>
      <c r="K14" s="1299"/>
      <c r="W14" s="1220">
        <v>11</v>
      </c>
    </row>
    <row customHeight="1" ht="11.549999999999999">
      <c r="F15" s="1295">
        <v>1</v>
      </c>
      <c r="G15" s="755" t="s">
        <v>1040</v>
      </c>
      <c r="H15" s="1301">
        <f>SUM(I15:J15)</f>
        <v>0</v>
      </c>
      <c r="I15" s="1301">
        <f>SUM(I16:I27)</f>
        <v>0</v>
      </c>
      <c r="J15" s="1290"/>
      <c r="K15" s="1299"/>
      <c r="W15" s="1220">
        <v>11</v>
      </c>
    </row>
    <row customHeight="1" ht="24">
      <c r="F16" s="1295" t="s">
        <v>1041</v>
      </c>
      <c r="G16" s="1302" t="s">
        <v>1042</v>
      </c>
      <c r="H16" s="1301">
        <f>SUM(I16:J16)</f>
        <v>0</v>
      </c>
      <c r="I16" s="1300"/>
      <c r="J16" s="1290"/>
      <c r="K16" s="1299"/>
      <c r="W16" s="1220">
        <v>23</v>
      </c>
    </row>
    <row customHeight="1" ht="24">
      <c r="F17" s="1295" t="s">
        <v>1043</v>
      </c>
      <c r="G17" s="1302" t="s">
        <v>1044</v>
      </c>
      <c r="H17" s="1301">
        <f>SUM(I17:J17)</f>
        <v>0</v>
      </c>
      <c r="I17" s="1300"/>
      <c r="J17" s="1290"/>
      <c r="K17" s="1299"/>
      <c r="W17" s="1220">
        <v>23</v>
      </c>
    </row>
    <row customHeight="1" ht="35.699999999999996">
      <c r="F18" s="1295" t="s">
        <v>1045</v>
      </c>
      <c r="G18" s="1302" t="s">
        <v>1046</v>
      </c>
      <c r="H18" s="1301">
        <f>SUM(I18:J18)</f>
        <v>0</v>
      </c>
      <c r="I18" s="1300"/>
      <c r="J18" s="1290"/>
      <c r="K18" s="1299"/>
      <c r="W18" s="1220">
        <v>34</v>
      </c>
    </row>
    <row customHeight="1" ht="35.699999999999996">
      <c r="F19" s="1295" t="s">
        <v>1047</v>
      </c>
      <c r="G19" s="1302" t="s">
        <v>1048</v>
      </c>
      <c r="H19" s="1301">
        <f>SUM(I19:J19)</f>
        <v>0</v>
      </c>
      <c r="I19" s="1300"/>
      <c r="J19" s="1290"/>
      <c r="K19" s="1299"/>
      <c r="W19" s="1220">
        <v>34</v>
      </c>
    </row>
    <row customHeight="1" ht="48.29999999999999">
      <c r="F20" s="1295" t="s">
        <v>1049</v>
      </c>
      <c r="G20" s="1302" t="s">
        <v>1050</v>
      </c>
      <c r="H20" s="1301">
        <f>SUM(I20:J20)</f>
        <v>0</v>
      </c>
      <c r="I20" s="1300"/>
      <c r="J20" s="1290"/>
      <c r="K20" s="1299"/>
      <c r="W20" s="1220">
        <v>46</v>
      </c>
    </row>
    <row customHeight="1" ht="35.699999999999996">
      <c r="F21" s="1295" t="s">
        <v>1051</v>
      </c>
      <c r="G21" s="1302" t="s">
        <v>1052</v>
      </c>
      <c r="H21" s="1301">
        <f>SUM(I21:J21)</f>
        <v>0</v>
      </c>
      <c r="I21" s="1300"/>
      <c r="J21" s="1290"/>
      <c r="K21" s="1299"/>
      <c r="W21" s="1220">
        <v>34</v>
      </c>
    </row>
    <row customHeight="1" ht="35.699999999999996">
      <c r="F22" s="1295" t="s">
        <v>1053</v>
      </c>
      <c r="G22" s="1302" t="s">
        <v>1054</v>
      </c>
      <c r="H22" s="1301">
        <f>SUM(I22:J22)</f>
        <v>0</v>
      </c>
      <c r="I22" s="1300"/>
      <c r="J22" s="1290"/>
      <c r="K22" s="1299"/>
      <c r="W22" s="1220">
        <v>34</v>
      </c>
    </row>
    <row customHeight="1" ht="24">
      <c r="F23" s="1295" t="s">
        <v>1055</v>
      </c>
      <c r="G23" s="1302" t="s">
        <v>1056</v>
      </c>
      <c r="H23" s="1301">
        <f>SUM(I23:J23)</f>
        <v>0</v>
      </c>
      <c r="I23" s="1300"/>
      <c r="J23" s="1290"/>
      <c r="K23" s="1299"/>
      <c r="W23" s="1220">
        <v>23</v>
      </c>
    </row>
    <row customHeight="1" ht="24">
      <c r="F24" s="1295" t="s">
        <v>1057</v>
      </c>
      <c r="G24" s="1302" t="s">
        <v>1058</v>
      </c>
      <c r="H24" s="1301">
        <f>SUM(I24:J24)</f>
        <v>0</v>
      </c>
      <c r="I24" s="1300"/>
      <c r="J24" s="1290"/>
      <c r="K24" s="1299"/>
      <c r="W24" s="1220">
        <v>23</v>
      </c>
    </row>
    <row customHeight="1" ht="35.699999999999996">
      <c r="F25" s="1295" t="s">
        <v>1059</v>
      </c>
      <c r="G25" s="1302" t="s">
        <v>1060</v>
      </c>
      <c r="H25" s="1301">
        <f>SUM(I25:J25)</f>
        <v>0</v>
      </c>
      <c r="I25" s="1300"/>
      <c r="J25" s="1290"/>
      <c r="K25" s="1299"/>
      <c r="W25" s="1220">
        <v>34</v>
      </c>
    </row>
    <row customHeight="1" ht="35.699999999999996">
      <c r="F26" s="1295" t="s">
        <v>1061</v>
      </c>
      <c r="G26" s="1302" t="s">
        <v>1062</v>
      </c>
      <c r="H26" s="1301">
        <f>SUM(I26:J26)</f>
        <v>0</v>
      </c>
      <c r="I26" s="1300"/>
      <c r="J26" s="1290"/>
      <c r="K26" s="1299"/>
      <c r="W26" s="1220">
        <v>34</v>
      </c>
    </row>
    <row customHeight="1" ht="11.549999999999999">
      <c r="F27" s="1295" t="s">
        <v>1063</v>
      </c>
      <c r="G27" s="1302" t="s">
        <v>1064</v>
      </c>
      <c r="H27" s="1301">
        <f>SUM(I27:J27)</f>
        <v>0</v>
      </c>
      <c r="I27" s="1300"/>
      <c r="J27" s="1290"/>
      <c r="K27" s="1299"/>
      <c r="W27" s="1220">
        <v>11</v>
      </c>
    </row>
    <row customHeight="1" ht="11.549999999999999">
      <c r="F28" s="1295">
        <v>2</v>
      </c>
      <c r="G28" s="755" t="s">
        <v>1065</v>
      </c>
      <c r="H28" s="1301">
        <f>SUM(I28:J28)</f>
        <v>0</v>
      </c>
      <c r="I28" s="1301">
        <f>SUM(I29:I31)</f>
        <v>0</v>
      </c>
      <c r="J28" s="1290"/>
      <c r="K28" s="1299"/>
      <c r="W28" s="1220">
        <v>11</v>
      </c>
    </row>
    <row customHeight="1" ht="11.549999999999999">
      <c r="F29" s="1295" t="s">
        <v>728</v>
      </c>
      <c r="G29" s="1302" t="s">
        <v>1066</v>
      </c>
      <c r="H29" s="1301">
        <f>SUM(I29:J29)</f>
        <v>0</v>
      </c>
      <c r="I29" s="1300"/>
      <c r="J29" s="1290"/>
      <c r="K29" s="1299"/>
      <c r="W29" s="1220">
        <v>11</v>
      </c>
    </row>
    <row customHeight="1" ht="11.549999999999999">
      <c r="F30" s="1295" t="s">
        <v>326</v>
      </c>
      <c r="G30" s="1302" t="s">
        <v>1067</v>
      </c>
      <c r="H30" s="1301">
        <f>SUM(I30:J30)</f>
        <v>0</v>
      </c>
      <c r="I30" s="1300"/>
      <c r="J30" s="1290"/>
      <c r="K30" s="1299"/>
      <c r="W30" s="1220">
        <v>11</v>
      </c>
    </row>
    <row customHeight="1" ht="11.549999999999999">
      <c r="F31" s="1295" t="s">
        <v>329</v>
      </c>
      <c r="G31" s="1302" t="s">
        <v>1068</v>
      </c>
      <c r="H31" s="1301">
        <f>SUM(I31:J31)</f>
        <v>0</v>
      </c>
      <c r="I31" s="1300"/>
      <c r="J31" s="1290"/>
      <c r="K31" s="1299"/>
      <c r="W31" s="1220">
        <v>11</v>
      </c>
    </row>
    <row customHeight="1" ht="11.549999999999999">
      <c r="F32" s="1295">
        <v>3</v>
      </c>
      <c r="G32" s="755" t="s">
        <v>1069</v>
      </c>
      <c r="H32" s="1301">
        <f>SUM(I32:J32)</f>
        <v>0</v>
      </c>
      <c r="I32" s="1301">
        <f>SUM(I33:I34)</f>
        <v>0</v>
      </c>
      <c r="J32" s="1290"/>
      <c r="K32" s="1299"/>
      <c r="W32" s="1220">
        <v>11</v>
      </c>
    </row>
    <row customHeight="1" ht="48.29999999999999">
      <c r="F33" s="1295" t="s">
        <v>343</v>
      </c>
      <c r="G33" s="1302" t="s">
        <v>1070</v>
      </c>
      <c r="H33" s="1301">
        <f>SUM(I33:J33)</f>
        <v>0</v>
      </c>
      <c r="I33" s="1300"/>
      <c r="J33" s="1290"/>
      <c r="K33" s="1299"/>
      <c r="W33" s="1220">
        <v>46</v>
      </c>
    </row>
    <row customHeight="1" ht="11.549999999999999">
      <c r="F34" s="1295" t="s">
        <v>351</v>
      </c>
      <c r="G34" s="1302" t="s">
        <v>1071</v>
      </c>
      <c r="H34" s="1301">
        <f>SUM(I34:J34)</f>
        <v>0</v>
      </c>
      <c r="I34" s="1300"/>
      <c r="J34" s="1290"/>
      <c r="K34" s="1299"/>
      <c r="W34" s="1220">
        <v>11</v>
      </c>
    </row>
    <row customHeight="1" ht="11.549999999999999">
      <c r="F35" s="1295">
        <v>4</v>
      </c>
      <c r="G35" s="755" t="s">
        <v>1072</v>
      </c>
      <c r="H35" s="1301">
        <f>SUM(I35:J35)</f>
        <v>0</v>
      </c>
      <c r="I35" s="1300"/>
      <c r="J35" s="1290"/>
      <c r="K35" s="1299"/>
      <c r="W35" s="1220">
        <v>11</v>
      </c>
    </row>
    <row customHeight="1" ht="11.549999999999999">
      <c r="F36" s="1295"/>
      <c r="G36" s="758" t="s">
        <v>1073</v>
      </c>
      <c r="H36" s="1301">
        <f>SUM(I36:J36)</f>
        <v>0</v>
      </c>
      <c r="I36" s="1301">
        <f>SUM(I15,I28,I32,I35)</f>
        <v>0</v>
      </c>
      <c r="J36" s="1290"/>
      <c r="K36" s="1299"/>
      <c r="W36" s="1220">
        <v>11</v>
      </c>
    </row>
    <row customHeight="1" ht="29.25">
      <c r="F37" s="1296" t="s">
        <v>1074</v>
      </c>
      <c r="G37" s="2487" t="s">
        <v>1075</v>
      </c>
      <c r="H37" s="2487"/>
      <c r="I37" s="2487"/>
      <c r="J37" s="2487"/>
      <c r="K37" s="1299"/>
      <c r="W37" s="1220">
        <v>28</v>
      </c>
    </row>
    <row customHeight="1" ht="24">
      <c r="F38" s="1295" t="s">
        <v>112</v>
      </c>
      <c r="G38" s="755" t="s">
        <v>1076</v>
      </c>
      <c r="H38" s="1301">
        <f>SUM(I38:J38)</f>
        <v>0</v>
      </c>
      <c r="I38" s="1301">
        <f>SUM(I39,I44,I47)</f>
        <v>0</v>
      </c>
      <c r="J38" s="1290"/>
      <c r="K38" s="1299"/>
      <c r="W38" s="1220">
        <v>23</v>
      </c>
    </row>
    <row customHeight="1" ht="11.549999999999999">
      <c r="F39" s="1295" t="s">
        <v>1041</v>
      </c>
      <c r="G39" s="1302" t="s">
        <v>1040</v>
      </c>
      <c r="H39" s="1301">
        <f>SUM(I39:J39)</f>
        <v>0</v>
      </c>
      <c r="I39" s="1301">
        <f>SUM(I40:I43)</f>
        <v>0</v>
      </c>
      <c r="J39" s="1290"/>
      <c r="K39" s="1299"/>
      <c r="W39" s="1220">
        <v>11</v>
      </c>
    </row>
    <row customHeight="1" ht="24">
      <c r="F40" s="1295" t="s">
        <v>1077</v>
      </c>
      <c r="G40" s="1303" t="s">
        <v>1078</v>
      </c>
      <c r="H40" s="1301">
        <f>SUM(I40:J40)</f>
        <v>0</v>
      </c>
      <c r="I40" s="1300"/>
      <c r="J40" s="1290"/>
      <c r="K40" s="1299"/>
      <c r="W40" s="1220">
        <v>23</v>
      </c>
    </row>
    <row customHeight="1" ht="11.549999999999999">
      <c r="F41" s="1295" t="s">
        <v>1079</v>
      </c>
      <c r="G41" s="1303" t="s">
        <v>1080</v>
      </c>
      <c r="H41" s="1301">
        <f>SUM(I41:J41)</f>
        <v>0</v>
      </c>
      <c r="I41" s="1300"/>
      <c r="J41" s="1290"/>
      <c r="K41" s="1299"/>
      <c r="W41" s="1220">
        <v>11</v>
      </c>
    </row>
    <row customHeight="1" ht="11.549999999999999">
      <c r="F42" s="1295" t="s">
        <v>1081</v>
      </c>
      <c r="G42" s="1303" t="s">
        <v>1082</v>
      </c>
      <c r="H42" s="1301">
        <f>SUM(I42:J42)</f>
        <v>0</v>
      </c>
      <c r="I42" s="1300"/>
      <c r="J42" s="1290"/>
      <c r="K42" s="1299"/>
      <c r="W42" s="1220">
        <v>11</v>
      </c>
    </row>
    <row customHeight="1" ht="35.699999999999996">
      <c r="F43" s="1295" t="s">
        <v>1083</v>
      </c>
      <c r="G43" s="1303" t="s">
        <v>1084</v>
      </c>
      <c r="H43" s="1301">
        <f>SUM(I43:J43)</f>
        <v>0</v>
      </c>
      <c r="I43" s="1300"/>
      <c r="J43" s="1290"/>
      <c r="K43" s="1299"/>
      <c r="W43" s="1220">
        <v>34</v>
      </c>
    </row>
    <row customHeight="1" ht="11.549999999999999">
      <c r="F44" s="1295" t="s">
        <v>1043</v>
      </c>
      <c r="G44" s="1302" t="s">
        <v>1069</v>
      </c>
      <c r="H44" s="1301">
        <f>SUM(I44:J44)</f>
        <v>0</v>
      </c>
      <c r="I44" s="1301">
        <f>SUM(I45:I46)</f>
        <v>0</v>
      </c>
      <c r="J44" s="1290"/>
      <c r="K44" s="1299"/>
      <c r="W44" s="1220">
        <v>11</v>
      </c>
    </row>
    <row customHeight="1" ht="48.29999999999999">
      <c r="F45" s="1295" t="s">
        <v>1085</v>
      </c>
      <c r="G45" s="1303" t="s">
        <v>1070</v>
      </c>
      <c r="H45" s="1301">
        <f>SUM(I45:J45)</f>
        <v>0</v>
      </c>
      <c r="I45" s="1300"/>
      <c r="J45" s="1290"/>
      <c r="K45" s="1299"/>
      <c r="W45" s="1220">
        <v>46</v>
      </c>
    </row>
    <row customHeight="1" ht="11.549999999999999">
      <c r="F46" s="1295" t="s">
        <v>1086</v>
      </c>
      <c r="G46" s="1303" t="s">
        <v>1071</v>
      </c>
      <c r="H46" s="1301">
        <f>SUM(I46:J46)</f>
        <v>0</v>
      </c>
      <c r="I46" s="1300"/>
      <c r="J46" s="1290"/>
      <c r="K46" s="1299"/>
      <c r="W46" s="1220">
        <v>11</v>
      </c>
    </row>
    <row customHeight="1" ht="11.549999999999999">
      <c r="F47" s="1295" t="s">
        <v>1045</v>
      </c>
      <c r="G47" s="1302" t="s">
        <v>1087</v>
      </c>
      <c r="H47" s="1301">
        <f>SUM(I47:J47)</f>
        <v>0</v>
      </c>
      <c r="I47" s="1300"/>
      <c r="J47" s="1290"/>
      <c r="K47" s="1299"/>
      <c r="W47" s="1220">
        <v>11</v>
      </c>
    </row>
    <row customHeight="1" ht="24">
      <c r="F48" s="1295" t="s">
        <v>113</v>
      </c>
      <c r="G48" s="755" t="s">
        <v>1088</v>
      </c>
      <c r="H48" s="1301">
        <f>SUM(I48:J48)</f>
        <v>0</v>
      </c>
      <c r="I48" s="1301">
        <f>SUM(I49,I54,I57)</f>
        <v>0</v>
      </c>
      <c r="J48" s="1290"/>
      <c r="K48" s="1299"/>
      <c r="W48" s="1220">
        <v>23</v>
      </c>
    </row>
    <row customHeight="1" ht="11.549999999999999">
      <c r="F49" s="1295" t="s">
        <v>728</v>
      </c>
      <c r="G49" s="1302" t="s">
        <v>1040</v>
      </c>
      <c r="H49" s="1301">
        <f>SUM(I49:J49)</f>
        <v>0</v>
      </c>
      <c r="I49" s="1301">
        <f>SUM(I50:I53)</f>
        <v>0</v>
      </c>
      <c r="J49" s="1290"/>
      <c r="K49" s="1299"/>
      <c r="W49" s="1220">
        <v>11</v>
      </c>
    </row>
    <row customHeight="1" ht="24">
      <c r="F50" s="1295" t="s">
        <v>731</v>
      </c>
      <c r="G50" s="1303" t="s">
        <v>1078</v>
      </c>
      <c r="H50" s="1301">
        <f>SUM(I50:J50)</f>
        <v>0</v>
      </c>
      <c r="I50" s="1300"/>
      <c r="J50" s="1290"/>
      <c r="K50" s="1299"/>
      <c r="W50" s="1220">
        <v>23</v>
      </c>
    </row>
    <row customHeight="1" ht="11.549999999999999">
      <c r="F51" s="1295" t="s">
        <v>734</v>
      </c>
      <c r="G51" s="1303" t="s">
        <v>1080</v>
      </c>
      <c r="H51" s="1301">
        <f>SUM(I51:J51)</f>
        <v>0</v>
      </c>
      <c r="I51" s="1300"/>
      <c r="J51" s="1290"/>
      <c r="K51" s="1299"/>
      <c r="W51" s="1220">
        <v>11</v>
      </c>
    </row>
    <row customHeight="1" ht="11.549999999999999">
      <c r="F52" s="1295" t="s">
        <v>1089</v>
      </c>
      <c r="G52" s="1303" t="s">
        <v>1082</v>
      </c>
      <c r="H52" s="1301">
        <f>SUM(I52:J52)</f>
        <v>0</v>
      </c>
      <c r="I52" s="1300"/>
      <c r="J52" s="1290"/>
      <c r="K52" s="1299"/>
      <c r="W52" s="1220">
        <v>11</v>
      </c>
    </row>
    <row customHeight="1" ht="35.699999999999996">
      <c r="F53" s="1295" t="s">
        <v>1090</v>
      </c>
      <c r="G53" s="1303" t="s">
        <v>1084</v>
      </c>
      <c r="H53" s="1301">
        <f>SUM(I53:J53)</f>
        <v>0</v>
      </c>
      <c r="I53" s="1300"/>
      <c r="J53" s="1290"/>
      <c r="K53" s="1299"/>
      <c r="W53" s="1220">
        <v>34</v>
      </c>
    </row>
    <row customHeight="1" ht="11.549999999999999">
      <c r="F54" s="1295" t="s">
        <v>326</v>
      </c>
      <c r="G54" s="1302" t="s">
        <v>1069</v>
      </c>
      <c r="H54" s="1301">
        <f>SUM(I54:J54)</f>
        <v>0</v>
      </c>
      <c r="I54" s="1301">
        <f>SUM(I55:I56)</f>
        <v>0</v>
      </c>
      <c r="J54" s="1290"/>
      <c r="K54" s="1299"/>
      <c r="W54" s="1220">
        <v>11</v>
      </c>
    </row>
    <row customHeight="1" ht="48.29999999999999">
      <c r="F55" s="1295" t="s">
        <v>738</v>
      </c>
      <c r="G55" s="1303" t="s">
        <v>1070</v>
      </c>
      <c r="H55" s="1301">
        <f>SUM(I55:J55)</f>
        <v>0</v>
      </c>
      <c r="I55" s="1300"/>
      <c r="J55" s="1290"/>
      <c r="K55" s="1299"/>
      <c r="W55" s="1220">
        <v>46</v>
      </c>
    </row>
    <row customHeight="1" ht="11.549999999999999">
      <c r="F56" s="1295" t="s">
        <v>740</v>
      </c>
      <c r="G56" s="1303" t="s">
        <v>1071</v>
      </c>
      <c r="H56" s="1301">
        <f>SUM(I56:J56)</f>
        <v>0</v>
      </c>
      <c r="I56" s="1300"/>
      <c r="J56" s="1290"/>
      <c r="K56" s="1299"/>
      <c r="W56" s="1220">
        <v>11</v>
      </c>
    </row>
    <row customHeight="1" ht="11.549999999999999">
      <c r="F57" s="1295" t="s">
        <v>329</v>
      </c>
      <c r="G57" s="1302" t="s">
        <v>1087</v>
      </c>
      <c r="H57" s="1301">
        <f>SUM(I57:J57)</f>
        <v>0</v>
      </c>
      <c r="I57" s="1300"/>
      <c r="J57" s="1290"/>
      <c r="K57" s="1299"/>
      <c r="W57" s="1220">
        <v>11</v>
      </c>
    </row>
    <row customHeight="1" ht="11.549999999999999">
      <c r="F58" s="1295"/>
      <c r="G58" s="1304" t="s">
        <v>1073</v>
      </c>
      <c r="H58" s="1301">
        <f>SUM(I58:J58)</f>
        <v>0</v>
      </c>
      <c r="I58" s="1301">
        <f>SUM(I38,I48)</f>
        <v>0</v>
      </c>
      <c r="J58" s="1290"/>
      <c r="K58" s="1299"/>
      <c r="W58" s="1220">
        <v>11</v>
      </c>
    </row>
    <row customHeight="1" ht="10.5" hidden="1">
      <c r="A59" s="1231" t="s">
        <v>85</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26DD5-60F1-292B-5EEE-BD5FC8F5F7C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822" width="4.7109375" hidden="1" customWidth="1"/>
    <col min="2" max="2" style="4825" width="4.7109375" hidden="1" customWidth="1"/>
    <col min="3" max="4" style="4822" width="4.7109375" hidden="1" customWidth="1"/>
    <col min="5" max="5" style="4822" width="3.00390625" customWidth="1"/>
    <col min="6" max="6" style="4822" width="6.00390625" customWidth="1"/>
    <col min="7" max="7" style="4822" width="18.00390625" customWidth="1"/>
    <col min="8" max="8" style="4822" width="27.00390625" customWidth="1"/>
    <col min="9" max="9" style="4822" width="18.00390625" customWidth="1"/>
    <col min="10" max="14" style="4822" width="0.8515625" hidden="1" customWidth="1"/>
    <col min="15" max="28" style="4822" width="21.7109375" customWidth="1"/>
    <col min="29" max="71" style="4822" width="0.8515625" customWidth="1"/>
    <col min="72" max="79" style="4822" width="21.7109375" hidden="1" customWidth="1"/>
    <col min="80" max="81" style="4822" width="29.140625" hidden="1" customWidth="1"/>
    <col min="82" max="89" style="4822" width="21.7109375" hidden="1" customWidth="1"/>
    <col min="90" max="102" style="4822" width="0.7109375" hidden="1" customWidth="1"/>
    <col min="103" max="114" style="4822" width="21.7109375" hidden="1" customWidth="1"/>
    <col min="115" max="178" style="4822" width="0.7109375" hidden="1" customWidth="1"/>
    <col min="179" max="179" style="4822" width="0.140625" customWidth="1"/>
    <col min="180" max="184" style="4822" width="8.00390625" customWidth="1"/>
    <col min="185" max="185" style="4822" width="9.140625" hidden="1"/>
  </cols>
  <sheetData>
    <row s="4760" customFormat="1" customHeight="1" ht="12" hidden="1">
      <c r="B1" s="988"/>
      <c r="C1" s="989"/>
      <c r="D1" s="989"/>
      <c r="GC1" s="987" t="s">
        <v>14</v>
      </c>
    </row>
    <row s="4760"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760"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766"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498" customFormat="1" customHeight="1" ht="18.75">
      <c r="B6" s="1008"/>
      <c r="E6" s="1010"/>
      <c r="F6" s="2279" t="str">
        <f>IF(org=0,"Не определено",org)</f>
        <v>Филиал ПАО "ОГК-2"-Ставропольская ГРЭС</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775"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775" customFormat="1" customHeight="1" ht="11.25" hidden="1">
      <c r="B8" s="999"/>
      <c r="F8" s="1121"/>
      <c r="G8" s="828"/>
      <c r="H8" s="425"/>
      <c r="I8" s="425"/>
      <c r="J8" s="425"/>
      <c r="K8" s="425"/>
      <c r="L8" s="425"/>
      <c r="M8" s="1121"/>
      <c r="N8" s="1121"/>
      <c r="O8" s="2515" t="s">
        <v>1091</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1092</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775"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775" customFormat="1" customHeight="1" ht="11.549999999999999">
      <c r="B10" s="999"/>
      <c r="F10" s="2494" t="s">
        <v>319</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91</v>
      </c>
      <c r="G11" s="2270" t="s">
        <v>1093</v>
      </c>
      <c r="H11" s="2502" t="s">
        <v>1094</v>
      </c>
      <c r="I11" s="2502" t="s">
        <v>1095</v>
      </c>
      <c r="J11" s="2503"/>
      <c r="K11" s="2503"/>
      <c r="L11" s="2503"/>
      <c r="M11" s="2503"/>
      <c r="N11" s="2503"/>
      <c r="O11" s="2274" t="s">
        <v>1096</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1096</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1096</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1097</v>
      </c>
      <c r="P12" s="2274"/>
      <c r="Q12" s="2274"/>
      <c r="R12" s="2274"/>
      <c r="S12" s="2274" t="s">
        <v>1098</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1099</v>
      </c>
      <c r="BU12" s="2452"/>
      <c r="BV12" s="2452"/>
      <c r="BW12" s="2498"/>
      <c r="BX12" s="2451" t="s">
        <v>1100</v>
      </c>
      <c r="BY12" s="2452"/>
      <c r="BZ12" s="2452"/>
      <c r="CA12" s="2498"/>
      <c r="CB12" s="2451" t="s">
        <v>1101</v>
      </c>
      <c r="CC12" s="2498"/>
      <c r="CD12" s="2451" t="s">
        <v>1102</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1103</v>
      </c>
      <c r="CZ12" s="2452"/>
      <c r="DA12" s="2452"/>
      <c r="DB12" s="2452"/>
      <c r="DC12" s="2452"/>
      <c r="DD12" s="2498"/>
      <c r="DE12" s="2451" t="s">
        <v>1104</v>
      </c>
      <c r="DF12" s="2498"/>
      <c r="DG12" s="2451" t="s">
        <v>1102</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1105</v>
      </c>
      <c r="P13" s="2274"/>
      <c r="Q13" s="2274"/>
      <c r="R13" s="2274"/>
      <c r="S13" s="2401" t="s">
        <v>1106</v>
      </c>
      <c r="T13" s="2453"/>
      <c r="U13" s="2192" t="s">
        <v>1107</v>
      </c>
      <c r="V13" s="2192"/>
      <c r="W13" s="2192"/>
      <c r="X13" s="2192"/>
      <c r="Y13" s="2192" t="s">
        <v>1108</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1109</v>
      </c>
      <c r="BU13" s="2453"/>
      <c r="BV13" s="2401" t="s">
        <v>1110</v>
      </c>
      <c r="BW13" s="2453"/>
      <c r="BX13" s="2401" t="s">
        <v>1111</v>
      </c>
      <c r="BY13" s="2453"/>
      <c r="BZ13" s="2401" t="s">
        <v>1112</v>
      </c>
      <c r="CA13" s="2453"/>
      <c r="CB13" s="2401" t="s">
        <v>1113</v>
      </c>
      <c r="CC13" s="2453"/>
      <c r="CD13" s="2401" t="s">
        <v>1114</v>
      </c>
      <c r="CE13" s="2453"/>
      <c r="CF13" s="2401" t="s">
        <v>1115</v>
      </c>
      <c r="CG13" s="2453"/>
      <c r="CH13" s="2451" t="s">
        <v>1116</v>
      </c>
      <c r="CI13" s="2452"/>
      <c r="CJ13" s="2452"/>
      <c r="CK13" s="2498"/>
      <c r="CL13" s="2501"/>
      <c r="CM13" s="2499"/>
      <c r="CN13" s="2499"/>
      <c r="CO13" s="2499"/>
      <c r="CP13" s="2499"/>
      <c r="CQ13" s="2499"/>
      <c r="CR13" s="2499"/>
      <c r="CS13" s="2499"/>
      <c r="CT13" s="2499"/>
      <c r="CU13" s="2499"/>
      <c r="CV13" s="2499"/>
      <c r="CW13" s="2499"/>
      <c r="CX13" s="2518"/>
      <c r="CY13" s="2401" t="s">
        <v>1117</v>
      </c>
      <c r="CZ13" s="2453"/>
      <c r="DA13" s="2401" t="s">
        <v>1118</v>
      </c>
      <c r="DB13" s="2453"/>
      <c r="DC13" s="2401" t="s">
        <v>1119</v>
      </c>
      <c r="DD13" s="2453"/>
      <c r="DE13" s="2401" t="s">
        <v>1120</v>
      </c>
      <c r="DF13" s="2453"/>
      <c r="DG13" s="2451" t="s">
        <v>1121</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1122</v>
      </c>
      <c r="P14" s="2453"/>
      <c r="Q14" s="2401" t="s">
        <v>1123</v>
      </c>
      <c r="R14" s="2453"/>
      <c r="S14" s="2402"/>
      <c r="T14" s="2278"/>
      <c r="U14" s="2401" t="s">
        <v>855</v>
      </c>
      <c r="V14" s="2453"/>
      <c r="W14" s="2401" t="s">
        <v>858</v>
      </c>
      <c r="X14" s="2453"/>
      <c r="Y14" s="2401" t="s">
        <v>855</v>
      </c>
      <c r="Z14" s="2453"/>
      <c r="AA14" s="2401" t="s">
        <v>865</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1124</v>
      </c>
      <c r="CI14" s="2453"/>
      <c r="CJ14" s="2401" t="s">
        <v>1125</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1126</v>
      </c>
      <c r="DH14" s="2453"/>
      <c r="DI14" s="2401" t="s">
        <v>1127</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845</v>
      </c>
      <c r="P16" s="2498"/>
      <c r="Q16" s="2451" t="s">
        <v>847</v>
      </c>
      <c r="R16" s="2498"/>
      <c r="S16" s="2451" t="s">
        <v>851</v>
      </c>
      <c r="T16" s="2498"/>
      <c r="U16" s="2451" t="s">
        <v>856</v>
      </c>
      <c r="V16" s="2498"/>
      <c r="W16" s="2451" t="s">
        <v>859</v>
      </c>
      <c r="X16" s="2498"/>
      <c r="Y16" s="2451" t="s">
        <v>863</v>
      </c>
      <c r="Z16" s="2498"/>
      <c r="AA16" s="2451" t="s">
        <v>866</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578</v>
      </c>
      <c r="BU16" s="2498"/>
      <c r="BV16" s="2451" t="s">
        <v>578</v>
      </c>
      <c r="BW16" s="2498"/>
      <c r="BX16" s="2451" t="s">
        <v>578</v>
      </c>
      <c r="BY16" s="2498"/>
      <c r="BZ16" s="2451" t="s">
        <v>578</v>
      </c>
      <c r="CA16" s="2498"/>
      <c r="CB16" s="2451" t="s">
        <v>1128</v>
      </c>
      <c r="CC16" s="2498"/>
      <c r="CD16" s="2451" t="s">
        <v>578</v>
      </c>
      <c r="CE16" s="2498"/>
      <c r="CF16" s="2451" t="s">
        <v>1129</v>
      </c>
      <c r="CG16" s="2498"/>
      <c r="CH16" s="2451" t="s">
        <v>1130</v>
      </c>
      <c r="CI16" s="2498"/>
      <c r="CJ16" s="2451" t="s">
        <v>1130</v>
      </c>
      <c r="CK16" s="2498"/>
      <c r="CL16" s="2501"/>
      <c r="CM16" s="2499"/>
      <c r="CN16" s="2499"/>
      <c r="CO16" s="2499"/>
      <c r="CP16" s="2499"/>
      <c r="CQ16" s="2499"/>
      <c r="CR16" s="2499"/>
      <c r="CS16" s="2499"/>
      <c r="CT16" s="2499"/>
      <c r="CU16" s="2499"/>
      <c r="CV16" s="2499"/>
      <c r="CW16" s="2499"/>
      <c r="CX16" s="2518"/>
      <c r="CY16" s="2401" t="s">
        <v>578</v>
      </c>
      <c r="CZ16" s="2453"/>
      <c r="DA16" s="2401" t="s">
        <v>578</v>
      </c>
      <c r="DB16" s="2453"/>
      <c r="DC16" s="2401" t="s">
        <v>578</v>
      </c>
      <c r="DD16" s="2453"/>
      <c r="DE16" s="2451" t="s">
        <v>1128</v>
      </c>
      <c r="DF16" s="2498"/>
      <c r="DG16" s="2451" t="s">
        <v>1131</v>
      </c>
      <c r="DH16" s="2498"/>
      <c r="DI16" s="2451" t="s">
        <v>1131</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1132</v>
      </c>
      <c r="P17" s="1256" t="s">
        <v>1133</v>
      </c>
      <c r="Q17" s="1256" t="s">
        <v>1132</v>
      </c>
      <c r="R17" s="1256" t="s">
        <v>1133</v>
      </c>
      <c r="S17" s="1256" t="s">
        <v>1132</v>
      </c>
      <c r="T17" s="1256" t="s">
        <v>1133</v>
      </c>
      <c r="U17" s="1256" t="s">
        <v>1132</v>
      </c>
      <c r="V17" s="1256" t="s">
        <v>1133</v>
      </c>
      <c r="W17" s="1256" t="s">
        <v>1132</v>
      </c>
      <c r="X17" s="1256" t="s">
        <v>1133</v>
      </c>
      <c r="Y17" s="1256" t="s">
        <v>1132</v>
      </c>
      <c r="Z17" s="1256" t="s">
        <v>1133</v>
      </c>
      <c r="AA17" s="1256" t="s">
        <v>1132</v>
      </c>
      <c r="AB17" s="1256" t="s">
        <v>1133</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1132</v>
      </c>
      <c r="BU17" s="1256" t="s">
        <v>1133</v>
      </c>
      <c r="BV17" s="1256" t="s">
        <v>1132</v>
      </c>
      <c r="BW17" s="1256" t="s">
        <v>1133</v>
      </c>
      <c r="BX17" s="1256" t="s">
        <v>1132</v>
      </c>
      <c r="BY17" s="1256" t="s">
        <v>1133</v>
      </c>
      <c r="BZ17" s="1256" t="s">
        <v>1132</v>
      </c>
      <c r="CA17" s="1256" t="s">
        <v>1133</v>
      </c>
      <c r="CB17" s="1256" t="s">
        <v>1132</v>
      </c>
      <c r="CC17" s="1256" t="s">
        <v>1133</v>
      </c>
      <c r="CD17" s="1256" t="s">
        <v>1132</v>
      </c>
      <c r="CE17" s="1256" t="s">
        <v>1133</v>
      </c>
      <c r="CF17" s="1256" t="s">
        <v>1132</v>
      </c>
      <c r="CG17" s="1256" t="s">
        <v>1133</v>
      </c>
      <c r="CH17" s="1256" t="s">
        <v>1132</v>
      </c>
      <c r="CI17" s="1256" t="s">
        <v>1133</v>
      </c>
      <c r="CJ17" s="1256" t="s">
        <v>1132</v>
      </c>
      <c r="CK17" s="1256" t="s">
        <v>1133</v>
      </c>
      <c r="CL17" s="2501"/>
      <c r="CM17" s="2499"/>
      <c r="CN17" s="2499"/>
      <c r="CO17" s="2499"/>
      <c r="CP17" s="2499"/>
      <c r="CQ17" s="2499"/>
      <c r="CR17" s="2499"/>
      <c r="CS17" s="2499"/>
      <c r="CT17" s="2499"/>
      <c r="CU17" s="2499"/>
      <c r="CV17" s="2499"/>
      <c r="CW17" s="2499"/>
      <c r="CX17" s="2518"/>
      <c r="CY17" s="1256" t="s">
        <v>1132</v>
      </c>
      <c r="CZ17" s="1256" t="s">
        <v>1133</v>
      </c>
      <c r="DA17" s="1256" t="s">
        <v>1132</v>
      </c>
      <c r="DB17" s="1256" t="s">
        <v>1133</v>
      </c>
      <c r="DC17" s="1256" t="s">
        <v>1132</v>
      </c>
      <c r="DD17" s="1256" t="s">
        <v>1133</v>
      </c>
      <c r="DE17" s="1256" t="s">
        <v>1132</v>
      </c>
      <c r="DF17" s="1256" t="s">
        <v>1133</v>
      </c>
      <c r="DG17" s="1256" t="s">
        <v>1132</v>
      </c>
      <c r="DH17" s="1256" t="s">
        <v>1133</v>
      </c>
      <c r="DI17" s="1256" t="s">
        <v>1132</v>
      </c>
      <c r="DJ17" s="1256" t="s">
        <v>1133</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760"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760"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760" customFormat="1" customHeight="1" ht="11.25" hidden="1">
      <c r="B20" s="1005"/>
      <c r="D20" s="989"/>
      <c r="E20" s="1004"/>
      <c r="F20" s="1262" t="s">
        <v>395</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760"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760" customFormat="1" customHeight="1" ht="12.75">
      <c r="A22" s="1006"/>
      <c r="B22" s="1006"/>
      <c r="C22" s="1006"/>
      <c r="D22" s="1006"/>
      <c r="E22" s="1006"/>
      <c r="FX22" s="1006"/>
      <c r="FY22" s="1006"/>
      <c r="FZ22" s="1006"/>
      <c r="GA22" s="1006"/>
      <c r="GB22" s="1006"/>
      <c r="GC22" s="987">
        <v>12</v>
      </c>
    </row>
    <row s="4822"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85</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7102E-57BF-DBF2-0036-05F1A9A99E4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200" width="9.140625" hidden="1" customWidth="1"/>
    <col min="2" max="2" style="4921" width="9.140625" hidden="1" customWidth="1"/>
    <col min="3" max="3" style="4826" width="4.00390625" customWidth="1"/>
    <col min="4" max="4" style="4921" width="6.00390625" customWidth="1"/>
    <col min="5" max="5" style="4921" width="36.00390625" customWidth="1"/>
    <col min="6" max="6" style="4921" width="9.00390625" customWidth="1"/>
    <col min="7" max="7" style="4921" width="42.421875" hidden="1" customWidth="1"/>
    <col min="8" max="8" style="4921" width="40.7109375" customWidth="1"/>
    <col min="9" max="9" style="4903" width="93.00390625" customWidth="1"/>
    <col min="10" max="17" style="4921" width="10.00390625" customWidth="1"/>
    <col min="18" max="18" style="4991" width="10.00390625" customWidth="1"/>
    <col min="19" max="19" style="4921" width="10.57421875" hidden="1"/>
  </cols>
  <sheetData>
    <row s="4903" customFormat="1" customHeight="1" ht="15" hidden="1">
      <c r="C1" s="737"/>
      <c r="H1" s="482">
        <v>4</v>
      </c>
      <c r="R1" s="485"/>
      <c r="S1" s="482" t="s">
        <v>14</v>
      </c>
    </row>
    <row customHeight="1" ht="22.5" hidden="1">
      <c r="C2" s="1993" t="s">
        <v>193</v>
      </c>
      <c r="D2" s="604"/>
      <c r="E2" s="728"/>
      <c r="F2" s="1826" t="str">
        <f>IF(TEMPLATE_SPHERE="HEAT","Гкал/час","тыс. куб. м/сутки")</f>
        <v>Гкал/час</v>
      </c>
      <c r="G2" s="745"/>
      <c r="H2" s="745"/>
      <c r="I2" s="354"/>
      <c r="S2" s="570">
        <v>0</v>
      </c>
    </row>
    <row s="4903" customFormat="1" customHeight="1" ht="15" hidden="1">
      <c r="C3" s="737"/>
      <c r="R3" s="485"/>
      <c r="S3" s="482">
        <v>0</v>
      </c>
    </row>
    <row customHeight="1" ht="15.75">
      <c r="C4" s="241"/>
      <c r="D4" s="574"/>
      <c r="E4" s="574"/>
      <c r="F4" s="574"/>
      <c r="G4" s="574"/>
      <c r="H4" s="574"/>
      <c r="S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602"/>
      <c r="S5" s="570">
        <v>38</v>
      </c>
    </row>
    <row customHeight="1" ht="15.75">
      <c r="C6" s="241"/>
      <c r="D6" s="2241" t="str">
        <f>IF(org=0,"Не определено",org)</f>
        <v>Филиал ПАО "ОГК-2"-Ставропольская ГРЭС</v>
      </c>
      <c r="E6" s="2241"/>
      <c r="F6" s="2241"/>
      <c r="G6" s="2241"/>
      <c r="H6" s="2241"/>
      <c r="I6" s="602"/>
      <c r="S6" s="570">
        <v>15</v>
      </c>
    </row>
    <row s="4921" customFormat="1" customHeight="1" ht="15.75">
      <c r="A7" s="824"/>
      <c r="C7" s="241"/>
      <c r="D7" s="741"/>
      <c r="E7" s="741"/>
      <c r="F7" s="741"/>
      <c r="G7" s="741"/>
      <c r="H7" s="817"/>
      <c r="I7" s="602"/>
      <c r="R7" s="740"/>
      <c r="S7" s="823">
        <v>15</v>
      </c>
    </row>
    <row customHeight="1" ht="1.05">
      <c r="C8" s="241"/>
      <c r="D8" s="574"/>
      <c r="E8" s="574"/>
      <c r="F8" s="574"/>
      <c r="G8" s="574"/>
      <c r="H8" s="602" t="s">
        <v>120</v>
      </c>
      <c r="S8" s="570">
        <v>1</v>
      </c>
    </row>
    <row customHeight="1" ht="15.75">
      <c r="C9" s="241"/>
      <c r="D9" s="776"/>
      <c r="E9" s="2432" t="s">
        <v>108</v>
      </c>
      <c r="F9" s="2433"/>
      <c r="G9" s="881" t="str">
        <f>IF(G8="","",INDEX(DIFFERENTIATION_UNMERGE_VD,MATCH(G8,DIFFERENTIATION_ID_DIFF,0)))</f>
        <v/>
      </c>
      <c r="H9" s="881">
        <f>IF(H8="","",INDEX(DIFFERENTIATION_UNMERGE_VD,MATCH(H8,DIFFERENTIATION_ID_DIFF,0)))</f>
        <v>0</v>
      </c>
      <c r="I9" s="2192" t="s">
        <v>320</v>
      </c>
      <c r="S9" s="570">
        <v>15</v>
      </c>
    </row>
    <row s="4921" customFormat="1" customHeight="1" ht="15.75">
      <c r="A10" s="824"/>
      <c r="C10" s="241"/>
      <c r="D10" s="776"/>
      <c r="E10" s="2432" t="s">
        <v>584</v>
      </c>
      <c r="F10" s="2433"/>
      <c r="G10" s="881" t="str">
        <f>IF(G8="","",INDEX(DIFFERENTIATION_UNMERGE_AREA,MATCH(G8,DIFFERENTIATION_ID_DIFF,0)))</f>
        <v/>
      </c>
      <c r="H10" s="881" t="str">
        <f>IF(H8="","",INDEX(DIFFERENTIATION_UNMERGE_AREA,MATCH(H8,DIFFERENTIATION_ID_DIFF,0)))</f>
        <v/>
      </c>
      <c r="I10" s="2192"/>
      <c r="R10" s="740"/>
      <c r="S10" s="823">
        <v>15</v>
      </c>
    </row>
    <row s="4921" customFormat="1" customHeight="1" ht="15.75">
      <c r="A11" s="824"/>
      <c r="C11" s="241"/>
      <c r="D11" s="776"/>
      <c r="E11" s="2432" t="s">
        <v>585</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921" customFormat="1" customHeight="1" ht="15.75">
      <c r="A12" s="824"/>
      <c r="C12" s="241"/>
      <c r="D12" s="2434" t="s">
        <v>319</v>
      </c>
      <c r="E12" s="2435"/>
      <c r="F12" s="2435"/>
      <c r="G12" s="952"/>
      <c r="H12" s="952"/>
      <c r="I12" s="2192"/>
      <c r="R12" s="740"/>
      <c r="S12" s="823">
        <v>15</v>
      </c>
    </row>
    <row customHeight="1" ht="35.699999999999996">
      <c r="C13" s="241"/>
      <c r="D13" s="826" t="s">
        <v>91</v>
      </c>
      <c r="E13" s="825" t="s">
        <v>321</v>
      </c>
      <c r="F13" s="825" t="s">
        <v>586</v>
      </c>
      <c r="G13" s="873" t="s">
        <v>322</v>
      </c>
      <c r="H13" s="819" t="s">
        <v>322</v>
      </c>
      <c r="I13" s="2192"/>
      <c r="S13" s="570">
        <v>34</v>
      </c>
    </row>
    <row customHeight="1" ht="15" hidden="1">
      <c r="C14" s="241"/>
      <c r="D14" s="658" t="s">
        <v>112</v>
      </c>
      <c r="E14" s="658" t="s">
        <v>113</v>
      </c>
      <c r="F14" s="658" t="s">
        <v>93</v>
      </c>
      <c r="G14" s="724" t="str">
        <f>G1&amp;".1"</f>
        <v>.1</v>
      </c>
      <c r="H14" s="724" t="str">
        <f>H1&amp;".1"</f>
        <v>4.1</v>
      </c>
      <c r="I14" s="354"/>
      <c r="S14" s="570">
        <v>0</v>
      </c>
    </row>
    <row customHeight="1" ht="15.75">
      <c r="A15" s="570"/>
      <c r="C15" s="591"/>
      <c r="D15" s="586">
        <v>1</v>
      </c>
      <c r="E15" s="1995" t="str">
        <f>TP_P_A</f>
        <v>Количество поданных заявок</v>
      </c>
      <c r="F15" s="586" t="s">
        <v>1134</v>
      </c>
      <c r="G15" s="750"/>
      <c r="H15" s="750"/>
      <c r="I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0">
        <v>15</v>
      </c>
    </row>
    <row customHeight="1" ht="15.75">
      <c r="A16" s="570"/>
      <c r="C16" s="591"/>
      <c r="D16" s="586">
        <v>2</v>
      </c>
      <c r="E16" s="1995" t="str">
        <f>TP_P_B</f>
        <v>Количество рассмотренных заявок</v>
      </c>
      <c r="F16" s="586" t="s">
        <v>1134</v>
      </c>
      <c r="G16" s="750"/>
      <c r="H16" s="750"/>
      <c r="I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0">
        <v>15</v>
      </c>
    </row>
    <row customHeight="1" ht="77.7">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1134</v>
      </c>
      <c r="G17" s="750"/>
      <c r="H17" s="750"/>
      <c r="I17" s="273" t="str">
        <f>TP_P_NOTE_V</f>
        <v>Указывается количество заявок с решением об отказе в течение отчетного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325</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v>
      </c>
      <c r="I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0">
        <v>57</v>
      </c>
    </row>
    <row customHeight="1" ht="15" hidden="1">
      <c r="D20" s="574" t="s">
        <v>1135</v>
      </c>
      <c r="E20" s="753"/>
      <c r="F20" s="574"/>
      <c r="G20" s="574"/>
      <c r="H20" s="574"/>
      <c r="I20" s="1828"/>
      <c r="S20" s="570">
        <v>0</v>
      </c>
    </row>
    <row customHeight="1" ht="29.25">
      <c r="C21" s="516"/>
      <c r="D21" s="604" t="s">
        <v>332</v>
      </c>
      <c r="E21" s="735"/>
      <c r="F21" s="1826" t="str">
        <f>IF(TEMPLATE_SPHERE="HEAT","Гкал/час","тыс. куб. м/сутки")</f>
        <v>Гкал/час</v>
      </c>
      <c r="G21" s="745"/>
      <c r="H21" s="745"/>
      <c r="I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0">
        <v>28</v>
      </c>
    </row>
    <row customHeight="1" ht="15.75">
      <c r="A22" s="570"/>
      <c r="C22" s="570"/>
      <c r="D22" s="412"/>
      <c r="E22" s="645" t="s">
        <v>1136</v>
      </c>
      <c r="F22" s="637"/>
      <c r="G22" s="637"/>
      <c r="H22" s="637"/>
      <c r="I22" s="2236"/>
      <c r="R22" s="570"/>
      <c r="S22" s="570">
        <v>15</v>
      </c>
    </row>
    <row customHeight="1" ht="22.5" hidden="1">
      <c r="A23" s="514" t="s">
        <v>85</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86276-28AD-AFEE-0234-D5B3CABA61F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625" width="9.140625" hidden="1" customWidth="1"/>
    <col min="2" max="2" style="4903" width="9.140625" hidden="1" customWidth="1"/>
    <col min="3" max="3" style="4943" width="3.00390625" customWidth="1"/>
    <col min="4" max="4" style="4921" width="6.00390625" customWidth="1"/>
    <col min="5" max="6" style="4921" width="64.00390625" customWidth="1"/>
    <col min="7" max="7" style="4921" width="140.00390625" customWidth="1"/>
    <col min="8" max="8" style="4921" width="10.00390625" customWidth="1"/>
    <col min="9" max="10" style="4866" width="10.00390625" customWidth="1"/>
    <col min="11" max="16" style="4921" width="10.00390625" customWidth="1"/>
    <col min="17" max="17" style="4921"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921" customFormat="1" customHeight="1" ht="18.75">
      <c r="A6" s="947"/>
      <c r="B6" s="482"/>
      <c r="C6" s="441"/>
      <c r="D6" s="2522" t="str">
        <f>IF(org=0,"Не определено",org)</f>
        <v>Филиал ПАО "ОГК-2"-Ставропольская ГРЭС</v>
      </c>
      <c r="E6" s="2523"/>
      <c r="F6" s="2523"/>
      <c r="G6" s="2524"/>
      <c r="I6" s="565"/>
      <c r="J6" s="565"/>
      <c r="Q6" s="823">
        <v>18</v>
      </c>
    </row>
    <row customHeight="1" ht="14.699999999999998">
      <c r="C7" s="161"/>
      <c r="D7" s="149"/>
      <c r="E7" s="160"/>
      <c r="F7" s="817"/>
      <c r="G7" s="258"/>
      <c r="Q7" s="148">
        <v>14</v>
      </c>
    </row>
    <row s="4921" customFormat="1" customHeight="1" ht="1.05">
      <c r="A8" s="1734"/>
      <c r="B8" s="1225"/>
      <c r="C8" s="441"/>
      <c r="D8" s="428"/>
      <c r="E8" s="454"/>
      <c r="F8" s="817"/>
      <c r="G8" s="258"/>
      <c r="I8" s="1689"/>
      <c r="J8" s="1689"/>
      <c r="Q8" s="1696">
        <v>1</v>
      </c>
    </row>
    <row customHeight="1" ht="14.699999999999998">
      <c r="C9" s="161"/>
      <c r="D9" s="2274" t="s">
        <v>319</v>
      </c>
      <c r="E9" s="2274"/>
      <c r="F9" s="2274"/>
      <c r="G9" s="2454" t="s">
        <v>320</v>
      </c>
      <c r="Q9" s="148">
        <v>14</v>
      </c>
    </row>
    <row customHeight="1" ht="24">
      <c r="C10" s="161"/>
      <c r="D10" s="170" t="s">
        <v>91</v>
      </c>
      <c r="E10" s="173" t="s">
        <v>321</v>
      </c>
      <c r="F10" s="173" t="s">
        <v>409</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325</v>
      </c>
      <c r="G12" s="216"/>
      <c r="Q12" s="148">
        <v>62</v>
      </c>
    </row>
    <row customHeight="1" ht="24">
      <c r="A13" s="257"/>
      <c r="C13" s="161"/>
      <c r="D13" s="212" t="s">
        <v>1041</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325</v>
      </c>
      <c r="G13" s="216"/>
      <c r="Q13" s="148">
        <v>23</v>
      </c>
    </row>
    <row customHeight="1" ht="14.699999999999998">
      <c r="A14" s="257"/>
      <c r="C14" s="161"/>
      <c r="D14" s="212" t="s">
        <v>1077</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1137</v>
      </c>
      <c r="F15" s="266"/>
      <c r="G15" s="2236"/>
      <c r="Q15" s="148">
        <v>15</v>
      </c>
    </row>
    <row customHeight="1" ht="14.699999999999998">
      <c r="A16" s="257"/>
      <c r="C16" s="161"/>
      <c r="D16" s="212" t="s">
        <v>1043</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325</v>
      </c>
      <c r="G16" s="402"/>
      <c r="Q16" s="148">
        <v>14</v>
      </c>
    </row>
    <row customHeight="1" ht="14.699999999999998">
      <c r="A17" s="257"/>
      <c r="C17" s="161"/>
      <c r="D17" s="212" t="s">
        <v>1085</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921" customFormat="1" customHeight="1" ht="22.049999999999997">
      <c r="A18" s="408"/>
      <c r="B18" s="211"/>
      <c r="C18" s="372"/>
      <c r="D18" s="412"/>
      <c r="E18" s="414" t="s">
        <v>1138</v>
      </c>
      <c r="F18" s="403"/>
      <c r="G18" s="2236"/>
      <c r="I18" s="415"/>
      <c r="J18" s="415"/>
      <c r="Q18" s="407">
        <v>21</v>
      </c>
    </row>
    <row s="4921" customFormat="1" customHeight="1" ht="256.5" hidden="1">
      <c r="A19" s="408"/>
      <c r="B19" s="482"/>
      <c r="C19" s="441"/>
      <c r="D19" s="949" t="s">
        <v>1045</v>
      </c>
      <c r="E19" s="948" t="s">
        <v>1139</v>
      </c>
      <c r="F19" s="450"/>
      <c r="G19" s="402" t="s">
        <v>1140</v>
      </c>
      <c r="I19" s="565"/>
      <c r="J19" s="565"/>
      <c r="Q19" s="823">
        <v>0</v>
      </c>
    </row>
    <row s="4921" customFormat="1" customHeight="1" ht="14.699999999999998">
      <c r="A20" s="408"/>
      <c r="B20" s="211"/>
      <c r="C20" s="372"/>
      <c r="D20" s="950">
        <v>2</v>
      </c>
      <c r="E20" s="395" t="s">
        <v>1141</v>
      </c>
      <c r="F20" s="263" t="s">
        <v>325</v>
      </c>
      <c r="G20" s="402"/>
      <c r="I20" s="415"/>
      <c r="J20" s="415"/>
      <c r="Q20" s="407">
        <v>14</v>
      </c>
    </row>
    <row s="4921" customFormat="1" customHeight="1" ht="18.75" hidden="1">
      <c r="A21" s="408"/>
      <c r="B21" s="211"/>
      <c r="C21" s="372"/>
      <c r="D21" s="398" t="s">
        <v>656</v>
      </c>
      <c r="E21" s="397"/>
      <c r="F21" s="396"/>
      <c r="G21" s="406"/>
      <c r="H21" s="399"/>
      <c r="I21" s="415"/>
      <c r="J21" s="415"/>
      <c r="Q21" s="407">
        <v>0</v>
      </c>
    </row>
    <row customHeight="1" ht="15.75">
      <c r="A22" s="257"/>
      <c r="C22" s="161"/>
      <c r="D22" s="174"/>
      <c r="E22" s="268" t="s">
        <v>341</v>
      </c>
      <c r="F22" s="403"/>
      <c r="G22" s="404"/>
      <c r="Q22" s="148">
        <v>15</v>
      </c>
    </row>
    <row s="4921" customFormat="1" customHeight="1" ht="22.5" hidden="1">
      <c r="A23" s="408"/>
      <c r="B23" s="1225"/>
      <c r="C23" s="441"/>
      <c r="D23" s="1738" t="s">
        <v>113</v>
      </c>
      <c r="E23" s="262" t="s">
        <v>1142</v>
      </c>
      <c r="F23" s="1735" t="s">
        <v>325</v>
      </c>
      <c r="G23" s="410"/>
      <c r="I23" s="1689"/>
      <c r="J23" s="1689"/>
      <c r="Q23" s="1696">
        <v>0</v>
      </c>
    </row>
    <row s="4921" customFormat="1" customHeight="1" ht="14.25" hidden="1">
      <c r="A24" s="408"/>
      <c r="B24" s="1225"/>
      <c r="C24" s="441"/>
      <c r="D24" s="1738" t="s">
        <v>728</v>
      </c>
      <c r="E24" s="1737" t="s">
        <v>1143</v>
      </c>
      <c r="F24" s="1735" t="s">
        <v>325</v>
      </c>
      <c r="G24" s="402"/>
      <c r="I24" s="1689"/>
      <c r="J24" s="1689"/>
      <c r="Q24" s="1696">
        <v>0</v>
      </c>
    </row>
    <row s="4921" customFormat="1" customHeight="1" ht="14.25" hidden="1">
      <c r="A25" s="408"/>
      <c r="B25" s="1225"/>
      <c r="C25" s="441"/>
      <c r="D25" s="1738" t="s">
        <v>731</v>
      </c>
      <c r="E25" s="260"/>
      <c r="F25" s="450"/>
      <c r="G25" s="2234" t="s">
        <v>1144</v>
      </c>
      <c r="I25" s="1689"/>
      <c r="J25" s="1689"/>
      <c r="Q25" s="1696">
        <v>0</v>
      </c>
    </row>
    <row s="4921" customFormat="1" customHeight="1" ht="22.5" hidden="1">
      <c r="A26" s="408"/>
      <c r="B26" s="1225"/>
      <c r="C26" s="441"/>
      <c r="D26" s="412"/>
      <c r="E26" s="414" t="s">
        <v>1145</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85</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553F7-6BB1-1195-FE2B-29DF24581BC2}" mc:Ignorable="x14ac xr xr2 xr3">
  <sheetPr>
    <tabColor theme="6" tint="0.4"/>
  </sheetPr>
  <dimension ref="A1:M45"/>
  <sheetViews>
    <sheetView showGridLines="0" zoomScale="90" workbookViewId="0">
      <pane xSplit="6" ySplit="21" topLeftCell="G22" activePane="bottomRight" state="frozen"/>
      <selection pane="bottomLeft" activeCell="A22" sqref="A22"/>
      <selection pane="topRight" activeCell="G1" sqref="G1"/>
      <selection pane="bottomRight" activeCell="I30" sqref="I30:I31"/>
    </sheetView>
  </sheetViews>
  <sheetFormatPr defaultColWidth="10.57421875" customHeight="1" defaultRowHeight="14.25"/>
  <cols>
    <col min="1" max="1" style="4107" width="9.140625" hidden="1" customWidth="1"/>
    <col min="2" max="2" style="4903" width="9.140625" hidden="1" customWidth="1"/>
    <col min="3" max="3" style="4943" width="3.00390625" customWidth="1"/>
    <col min="4" max="4" style="4921" width="6.00390625" customWidth="1"/>
    <col min="5" max="5" style="4921" width="63.00390625" customWidth="1"/>
    <col min="6" max="6" style="4921" width="1.7109375" hidden="1" customWidth="1"/>
    <col min="7" max="8" style="4921" width="35.00390625" customWidth="1"/>
    <col min="9" max="9" style="4921" width="91.00390625" customWidth="1"/>
    <col min="10" max="10" style="4921" width="68.00390625" customWidth="1"/>
    <col min="11" max="12" style="4866" width="10.00390625" customWidth="1"/>
    <col min="13" max="13" style="4921" width="10.57421875" hidden="1"/>
  </cols>
  <sheetData>
    <row customHeight="1" ht="22.5" hidden="1">
      <c r="M1" s="148" t="s">
        <v>14</v>
      </c>
    </row>
    <row s="4921" customFormat="1" customHeight="1" ht="18.75" hidden="1">
      <c r="A2" s="1748"/>
      <c r="B2" s="1225"/>
      <c r="C2" s="1795" t="s">
        <v>193</v>
      </c>
      <c r="D2" s="1738"/>
      <c r="E2" s="264"/>
      <c r="F2" s="1735"/>
      <c r="G2" s="1735" t="s">
        <v>325</v>
      </c>
      <c r="H2" s="1226"/>
      <c r="K2" s="1689"/>
      <c r="L2" s="1689"/>
      <c r="M2" s="1696">
        <v>0</v>
      </c>
    </row>
    <row s="4921" customFormat="1" customHeight="1" ht="14.25" hidden="1">
      <c r="A3" s="1427"/>
      <c r="B3" s="1225"/>
      <c r="C3" s="409"/>
      <c r="K3" s="1689"/>
      <c r="L3" s="1689"/>
      <c r="M3" s="1696">
        <v>0</v>
      </c>
    </row>
    <row s="4921" customFormat="1" customHeight="1" ht="18.75" hidden="1">
      <c r="A4" s="1748"/>
      <c r="B4" s="1225"/>
      <c r="C4" s="1795" t="s">
        <v>193</v>
      </c>
      <c r="D4" s="1738"/>
      <c r="E4" s="270" t="s">
        <v>1146</v>
      </c>
      <c r="F4" s="1735"/>
      <c r="G4" s="322"/>
      <c r="H4" s="1735" t="s">
        <v>325</v>
      </c>
      <c r="K4" s="1689"/>
      <c r="L4" s="1689"/>
      <c r="M4" s="1696">
        <v>0</v>
      </c>
    </row>
    <row s="4921" customFormat="1" customHeight="1" ht="14.25" hidden="1">
      <c r="A5" s="1427"/>
      <c r="B5" s="1225"/>
      <c r="C5" s="409"/>
      <c r="K5" s="1689"/>
      <c r="L5" s="1689"/>
      <c r="M5" s="1696">
        <v>0</v>
      </c>
    </row>
    <row s="4921" customFormat="1" customHeight="1" ht="18.75" hidden="1">
      <c r="A6" s="1748"/>
      <c r="B6" s="1225"/>
      <c r="C6" s="1795" t="s">
        <v>193</v>
      </c>
      <c r="D6" s="1738"/>
      <c r="E6" s="271" t="s">
        <v>1147</v>
      </c>
      <c r="F6" s="1735"/>
      <c r="G6" s="322"/>
      <c r="H6" s="1735" t="s">
        <v>325</v>
      </c>
      <c r="K6" s="1689"/>
      <c r="L6" s="1689"/>
      <c r="M6" s="1696">
        <v>0</v>
      </c>
    </row>
    <row s="4921" customFormat="1" customHeight="1" ht="14.25" hidden="1">
      <c r="A7" s="1427"/>
      <c r="B7" s="1225"/>
      <c r="C7" s="409"/>
      <c r="K7" s="1689"/>
      <c r="L7" s="1689"/>
      <c r="M7" s="1696">
        <v>0</v>
      </c>
    </row>
    <row s="4921" customFormat="1" customHeight="1" ht="18.75" hidden="1">
      <c r="A8" s="1748"/>
      <c r="B8" s="1225"/>
      <c r="C8" s="1795" t="s">
        <v>193</v>
      </c>
      <c r="D8" s="1738"/>
      <c r="E8" s="271" t="s">
        <v>1148</v>
      </c>
      <c r="F8" s="1735"/>
      <c r="G8" s="322"/>
      <c r="H8" s="1735" t="s">
        <v>325</v>
      </c>
      <c r="K8" s="1689"/>
      <c r="L8" s="1689"/>
      <c r="M8" s="1696">
        <v>0</v>
      </c>
    </row>
    <row s="4921" customFormat="1" customHeight="1" ht="14.25" hidden="1">
      <c r="A9" s="1427"/>
      <c r="B9" s="1225"/>
      <c r="C9" s="409"/>
      <c r="K9" s="1689"/>
      <c r="L9" s="1689"/>
      <c r="M9" s="1696">
        <v>0</v>
      </c>
    </row>
    <row s="4921" customFormat="1" customHeight="1" ht="18.75" hidden="1">
      <c r="A10" s="1748"/>
      <c r="B10" s="1225"/>
      <c r="C10" s="1795" t="s">
        <v>193</v>
      </c>
      <c r="D10" s="1738"/>
      <c r="E10" s="271" t="s">
        <v>1149</v>
      </c>
      <c r="F10" s="1735"/>
      <c r="G10" s="1739"/>
      <c r="H10" s="1735" t="s">
        <v>325</v>
      </c>
      <c r="K10" s="1689"/>
      <c r="L10" s="1689" t="s">
        <v>1150</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921" customFormat="1" customHeight="1" ht="14.699999999999998">
      <c r="A15" s="1427"/>
      <c r="B15" s="1225"/>
      <c r="C15" s="441"/>
      <c r="D15" s="2522" t="str">
        <f>IF(org=0,"Не определено",org)</f>
        <v>Филиал ПАО "ОГК-2"-Ставропольская ГРЭС</v>
      </c>
      <c r="E15" s="2523"/>
      <c r="F15" s="2523"/>
      <c r="G15" s="2523"/>
      <c r="H15" s="2524"/>
      <c r="J15" s="917"/>
      <c r="K15" s="1689"/>
      <c r="L15" s="1689"/>
      <c r="M15" s="1696">
        <v>14</v>
      </c>
    </row>
    <row customHeight="1" ht="14.699999999999998">
      <c r="C16" s="161"/>
      <c r="D16" s="149"/>
      <c r="E16" s="160"/>
      <c r="F16" s="160"/>
      <c r="G16" s="160"/>
      <c r="H16" s="817"/>
      <c r="I16" s="258"/>
      <c r="M16" s="148">
        <v>14</v>
      </c>
    </row>
    <row s="4921" customFormat="1" customHeight="1" ht="14.25" hidden="1">
      <c r="A17" s="1427"/>
      <c r="B17" s="1225"/>
      <c r="C17" s="441"/>
      <c r="D17" s="428"/>
      <c r="E17" s="454"/>
      <c r="F17" s="454"/>
      <c r="G17" s="454"/>
      <c r="H17" s="817"/>
      <c r="I17" s="258"/>
      <c r="K17" s="1689"/>
      <c r="L17" s="1689"/>
      <c r="M17" s="1696">
        <v>0</v>
      </c>
    </row>
    <row customHeight="1" ht="22.049999999999997">
      <c r="C18" s="161"/>
      <c r="D18" s="2274" t="s">
        <v>319</v>
      </c>
      <c r="E18" s="2274"/>
      <c r="F18" s="2274"/>
      <c r="G18" s="2274"/>
      <c r="H18" s="2274"/>
      <c r="I18" s="2454" t="s">
        <v>320</v>
      </c>
      <c r="M18" s="148">
        <v>21</v>
      </c>
    </row>
    <row customHeight="1" ht="22.049999999999997">
      <c r="C19" s="161"/>
      <c r="D19" s="170" t="s">
        <v>91</v>
      </c>
      <c r="E19" s="173" t="s">
        <v>321</v>
      </c>
      <c r="F19" s="173"/>
      <c r="G19" s="173" t="s">
        <v>322</v>
      </c>
      <c r="H19" s="173" t="s">
        <v>409</v>
      </c>
      <c r="I19" s="2454"/>
      <c r="M19" s="148">
        <v>21</v>
      </c>
    </row>
    <row customHeight="1" ht="12" hidden="1">
      <c r="C20" s="161"/>
      <c r="D20" s="152"/>
      <c r="E20" s="152"/>
      <c r="F20" s="152"/>
      <c r="G20" s="152"/>
      <c r="H20" s="152"/>
      <c r="I20" s="152"/>
      <c r="M20" s="148">
        <v>0</v>
      </c>
    </row>
    <row customHeight="1" ht="14.699999999999998">
      <c r="A21" s="1748"/>
      <c r="C21" s="161"/>
      <c r="D21" s="212">
        <v>1</v>
      </c>
      <c r="E21" s="2526" t="s">
        <v>1151</v>
      </c>
      <c r="F21" s="2526"/>
      <c r="G21" s="2526"/>
      <c r="H21" s="2526"/>
      <c r="I21" s="273"/>
      <c r="M21" s="148">
        <v>14</v>
      </c>
    </row>
    <row customHeight="1" ht="21">
      <c r="A22" s="1748"/>
      <c r="C22" s="161"/>
      <c r="D22" s="212" t="s">
        <v>1041</v>
      </c>
      <c r="E22" s="259" t="s">
        <v>1152</v>
      </c>
      <c r="F22" s="263"/>
      <c r="G22" s="4893">
        <v>45644.40493055555</v>
      </c>
      <c r="H22" s="263" t="s">
        <v>325</v>
      </c>
      <c r="I22" s="216" t="s">
        <v>1153</v>
      </c>
      <c r="M22" s="148">
        <v>20</v>
      </c>
    </row>
    <row customHeight="1" ht="60">
      <c r="A23" s="1748"/>
      <c r="C23" s="161"/>
      <c r="D23" s="212" t="s">
        <v>1043</v>
      </c>
      <c r="E23" s="259" t="s">
        <v>1154</v>
      </c>
      <c r="F23" s="263"/>
      <c r="G23" s="5666" t="s">
        <v>1155</v>
      </c>
      <c r="H23" s="278" t="s">
        <v>1156</v>
      </c>
      <c r="I23" s="323" t="s">
        <v>1157</v>
      </c>
      <c r="M23" s="148">
        <v>57</v>
      </c>
    </row>
    <row customHeight="1" ht="32.25">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325</v>
      </c>
      <c r="H24" s="278" t="s">
        <v>1158</v>
      </c>
      <c r="I24" s="324" t="s">
        <v>651</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32.25">
      <c r="A26" s="1748"/>
      <c r="C26" s="161"/>
      <c r="D26" s="212" t="s">
        <v>343</v>
      </c>
      <c r="E26" s="264" t="s">
        <v>1159</v>
      </c>
      <c r="F26" s="263"/>
      <c r="G26" s="263" t="s">
        <v>325</v>
      </c>
      <c r="H26" s="278" t="s">
        <v>1160</v>
      </c>
      <c r="I26" s="2234" t="s">
        <v>1161</v>
      </c>
      <c r="M26" s="148">
        <v>14</v>
      </c>
    </row>
    <row s="4921" customFormat="1" customHeight="1" ht="32.25">
      <c r="A27" s="5209"/>
      <c r="B27" s="4903"/>
      <c r="C27" s="4904" t="s">
        <v>193</v>
      </c>
      <c r="D27" s="5295" t="s">
        <v>351</v>
      </c>
      <c r="E27" s="4886" t="s">
        <v>1162</v>
      </c>
      <c r="F27" s="5602"/>
      <c r="G27" s="5602" t="s">
        <v>325</v>
      </c>
      <c r="H27" s="4887" t="s">
        <v>1163</v>
      </c>
      <c r="I27" s="4921"/>
      <c r="J27" s="4921"/>
      <c r="K27" s="4866"/>
      <c r="L27" s="4866"/>
      <c r="M27" s="4921">
        <v>0</v>
      </c>
    </row>
    <row customHeight="1" ht="15.75">
      <c r="A28" s="1748" t="s">
        <v>112</v>
      </c>
      <c r="C28" s="161"/>
      <c r="D28" s="174"/>
      <c r="E28" s="268" t="s">
        <v>341</v>
      </c>
      <c r="F28" s="269"/>
      <c r="G28" s="269"/>
      <c r="H28" s="266"/>
      <c r="I28" s="2236"/>
      <c r="M28" s="148">
        <v>15</v>
      </c>
    </row>
    <row customHeight="1" ht="39.75">
      <c r="A29" s="1748"/>
      <c r="B29" s="211">
        <v>3</v>
      </c>
      <c r="C29" s="161"/>
      <c r="D29" s="212">
        <v>4</v>
      </c>
      <c r="E29"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9" s="2525"/>
      <c r="G29" s="2525"/>
      <c r="H29" s="2525"/>
      <c r="I29" s="321"/>
      <c r="M29" s="148">
        <v>38</v>
      </c>
    </row>
    <row customHeight="1" ht="152.25">
      <c r="A30" s="1748"/>
      <c r="C30" s="161"/>
      <c r="D30" s="212" t="s">
        <v>773</v>
      </c>
      <c r="E30" s="270" t="s">
        <v>1146</v>
      </c>
      <c r="F30" s="263"/>
      <c r="G30" s="322" t="s">
        <v>1164</v>
      </c>
      <c r="H30" s="263" t="s">
        <v>325</v>
      </c>
      <c r="I30" s="2234" t="s">
        <v>1165</v>
      </c>
      <c r="M30" s="148">
        <v>20</v>
      </c>
    </row>
    <row customHeight="1" ht="15.75">
      <c r="A31" s="1748" t="s">
        <v>113</v>
      </c>
      <c r="C31" s="161"/>
      <c r="D31" s="174"/>
      <c r="E31" s="268" t="s">
        <v>341</v>
      </c>
      <c r="F31" s="269"/>
      <c r="G31" s="269"/>
      <c r="H31" s="266"/>
      <c r="I31" s="2236"/>
      <c r="M31" s="148">
        <v>15</v>
      </c>
    </row>
    <row customHeight="1" ht="31.5">
      <c r="A32" s="1748"/>
      <c r="B32" s="211">
        <v>3</v>
      </c>
      <c r="C32" s="161"/>
      <c r="D32" s="212">
        <v>5</v>
      </c>
      <c r="E32"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5"/>
      <c r="G32" s="2525"/>
      <c r="H32" s="2525"/>
      <c r="I32" s="321"/>
      <c r="M32" s="148">
        <v>30</v>
      </c>
    </row>
    <row customHeight="1" ht="27.299999999999997">
      <c r="A33" s="1748"/>
      <c r="C33" s="161"/>
      <c r="D33" s="212" t="s">
        <v>332</v>
      </c>
      <c r="E33"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68"/>
      <c r="G33" s="2468"/>
      <c r="H33" s="2468"/>
      <c r="I33" s="321"/>
      <c r="M33" s="148">
        <v>26</v>
      </c>
    </row>
    <row customHeight="1" ht="15">
      <c r="A34" s="1748"/>
      <c r="C34" s="161"/>
      <c r="D34" s="212" t="s">
        <v>1166</v>
      </c>
      <c r="E34" s="271" t="s">
        <v>1147</v>
      </c>
      <c r="F34" s="263"/>
      <c r="G34" s="322" t="s">
        <v>1167</v>
      </c>
      <c r="H34" s="263" t="s">
        <v>325</v>
      </c>
      <c r="I34" s="2234" t="s">
        <v>1168</v>
      </c>
      <c r="M34" s="148">
        <v>14</v>
      </c>
    </row>
    <row customHeight="1" ht="15.75">
      <c r="A35" s="1748" t="s">
        <v>93</v>
      </c>
      <c r="C35" s="161"/>
      <c r="D35" s="174"/>
      <c r="E35" s="269" t="s">
        <v>341</v>
      </c>
      <c r="F35" s="265"/>
      <c r="G35" s="265"/>
      <c r="H35" s="266"/>
      <c r="I35" s="2236"/>
      <c r="M35" s="148">
        <v>15</v>
      </c>
    </row>
    <row customHeight="1" ht="25.2">
      <c r="A36" s="1748"/>
      <c r="C36" s="161"/>
      <c r="D36" s="212" t="s">
        <v>901</v>
      </c>
      <c r="E36"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8"/>
      <c r="G36" s="2468"/>
      <c r="H36" s="2468"/>
      <c r="I36" s="321"/>
      <c r="M36" s="148">
        <v>24</v>
      </c>
    </row>
    <row customHeight="1" ht="42.75">
      <c r="A37" s="1748"/>
      <c r="C37" s="161"/>
      <c r="D37" s="212" t="s">
        <v>1169</v>
      </c>
      <c r="E37" s="271" t="s">
        <v>1148</v>
      </c>
      <c r="F37" s="263"/>
      <c r="G37" s="322" t="s">
        <v>1170</v>
      </c>
      <c r="H37" s="263" t="s">
        <v>325</v>
      </c>
      <c r="I37" s="2208" t="s">
        <v>1171</v>
      </c>
      <c r="M37" s="148">
        <v>14</v>
      </c>
    </row>
    <row customHeight="1" ht="15.75">
      <c r="A38" s="1748" t="s">
        <v>94</v>
      </c>
      <c r="C38" s="161"/>
      <c r="D38" s="174"/>
      <c r="E38" s="269" t="s">
        <v>341</v>
      </c>
      <c r="F38" s="265"/>
      <c r="G38" s="265"/>
      <c r="H38" s="266"/>
      <c r="I38" s="2208"/>
      <c r="M38" s="148">
        <v>15</v>
      </c>
    </row>
    <row customHeight="1" ht="27.299999999999997">
      <c r="A39" s="1748"/>
      <c r="C39" s="161"/>
      <c r="D39" s="212" t="s">
        <v>902</v>
      </c>
      <c r="E39"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68"/>
      <c r="G39" s="2468"/>
      <c r="H39" s="2468"/>
      <c r="I39" s="321"/>
      <c r="M39" s="148">
        <v>26</v>
      </c>
    </row>
    <row customHeight="1" ht="15">
      <c r="A40" s="1748"/>
      <c r="C40" s="161"/>
      <c r="D40" s="212" t="s">
        <v>903</v>
      </c>
      <c r="E40" s="271" t="s">
        <v>1149</v>
      </c>
      <c r="F40" s="263"/>
      <c r="G40" s="272" t="s">
        <v>1172</v>
      </c>
      <c r="H40" s="263" t="s">
        <v>325</v>
      </c>
      <c r="I40" s="2234" t="s">
        <v>1173</v>
      </c>
      <c r="L40" s="220" t="s">
        <v>1150</v>
      </c>
      <c r="M40" s="148">
        <v>14</v>
      </c>
    </row>
    <row s="4921" customFormat="1" customHeight="1" ht="18.75">
      <c r="A41" s="4902"/>
      <c r="B41" s="4903"/>
      <c r="C41" s="4904" t="s">
        <v>193</v>
      </c>
      <c r="D41" s="4905" t="s">
        <v>904</v>
      </c>
      <c r="E41" s="4906" t="s">
        <v>1149</v>
      </c>
      <c r="F41" s="4907"/>
      <c r="G41" s="4908" t="s">
        <v>1174</v>
      </c>
      <c r="H41" s="4907" t="s">
        <v>325</v>
      </c>
      <c r="I41" s="3928"/>
      <c r="J41" s="3928"/>
      <c r="K41" s="3927"/>
      <c r="L41" s="3927" t="s">
        <v>1150</v>
      </c>
      <c r="M41" s="3928">
        <v>0</v>
      </c>
    </row>
    <row customHeight="1" ht="15.75">
      <c r="A42" s="1748" t="s">
        <v>114</v>
      </c>
      <c r="C42" s="161"/>
      <c r="D42" s="174"/>
      <c r="E42" s="269" t="s">
        <v>341</v>
      </c>
      <c r="F42" s="265"/>
      <c r="G42" s="265"/>
      <c r="H42" s="266"/>
      <c r="I42" s="2236"/>
      <c r="M42" s="148">
        <v>15</v>
      </c>
    </row>
    <row s="5419" customFormat="1" customHeight="1" ht="3">
      <c r="A43" s="1748"/>
      <c r="K43" s="261"/>
      <c r="L43" s="261"/>
      <c r="M43" s="205">
        <v>3</v>
      </c>
    </row>
    <row customHeight="1" ht="26.25">
      <c r="D44" s="1746" t="s">
        <v>823</v>
      </c>
      <c r="E44"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350"/>
      <c r="G44" s="2350"/>
      <c r="H44" s="2350"/>
      <c r="I44" s="2350"/>
      <c r="M44" s="148">
        <v>25</v>
      </c>
    </row>
    <row customHeight="1" ht="22.5" hidden="1">
      <c r="A45" s="1427" t="s">
        <v>85</v>
      </c>
      <c r="B45" s="211">
        <v>0</v>
      </c>
      <c r="C45" s="162">
        <v>3</v>
      </c>
      <c r="D45" s="148">
        <v>6</v>
      </c>
      <c r="E45" s="148">
        <v>63</v>
      </c>
      <c r="F45" s="148">
        <v>0</v>
      </c>
      <c r="G45" s="148">
        <v>35</v>
      </c>
      <c r="H45" s="148">
        <v>35</v>
      </c>
      <c r="I45" s="148">
        <v>91</v>
      </c>
      <c r="J45" s="148">
        <v>68</v>
      </c>
      <c r="K45" s="220">
        <v>10</v>
      </c>
      <c r="L45" s="220">
        <v>10</v>
      </c>
      <c r="M45" s="148">
        <v>23</v>
      </c>
    </row>
  </sheetData>
  <sheetProtection formatColumns="0" formatRows="0" autoFilter="0" sort="0" insertRows="0" insertColumns="1" deleteRows="0" deleteColumns="0"/>
  <mergeCells count="17">
    <mergeCell ref="I30:I31"/>
    <mergeCell ref="E32:H32"/>
    <mergeCell ref="D14:H14"/>
    <mergeCell ref="D18:H18"/>
    <mergeCell ref="I18:I19"/>
    <mergeCell ref="E21:H21"/>
    <mergeCell ref="E25:H25"/>
    <mergeCell ref="I26:I28"/>
    <mergeCell ref="E29:H29"/>
    <mergeCell ref="D15:H15"/>
    <mergeCell ref="E44:I44"/>
    <mergeCell ref="E33:H33"/>
    <mergeCell ref="E36:H36"/>
    <mergeCell ref="E39:H39"/>
    <mergeCell ref="I34:I35"/>
    <mergeCell ref="I37:I38"/>
    <mergeCell ref="I40: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7 H23:H24 H2">
      <formula1>900</formula1>
    </dataValidation>
    <dataValidation type="textLength" operator="lessThanOrEqual" allowBlank="1" showInputMessage="1" showErrorMessage="1" errorTitle="Ошибка" error="Допускается ввод не более 900 символов!" sqref="I23:I24 I34 G37 I40:I41 I26:I27 E30 G34 E37 I30 E34 I37 G23 E26:E27 I10 E23 G30 E10 G8 E2 I2 I4 G4 E4 E6 I6 G6 E8 I8 E40:E41">
      <formula1>900</formula1>
    </dataValidation>
  </dataValidations>
  <hyperlinks>
    <hyperlink ref="G23" r:id="rId2" xr:uid="{9D018F36-0D11-55E1-252B-93AF3CDFF393}"/>
    <hyperlink ref="H23" r:id="rId3" tooltip="https://portal.eias.ru/Portal/DownloadPage.aspx?type=12&amp;guid=a011ae8f-fd05-44ef-9157-10e5ed61592b" xr:uid="{E9DFEC77-5094-872F-FBD6-98BFF8E9C314}"/>
    <hyperlink ref="H24" r:id="rId4" tooltip="https://portal.eias.ru/Portal/DownloadPage.aspx?type=12&amp;guid=3e2a3b03-8227-4f17-b20b-95534feb6b6a" xr:uid="{60F94B59-A22A-BC7D-451A-AF4A1E978F2C}"/>
    <hyperlink ref="H26" r:id="rId5" tooltip="https://portal.eias.ru/Portal/DownloadPage.aspx?type=12&amp;guid=7c68dc24-c565-4a0f-a2b3-52d7895f02ab" xr:uid="{E71EA286-9656-4443-90E7-4264CCDDEFA7}"/>
    <hyperlink ref="H27" r:id="rId6" tooltip="https://portal.eias.ru/Portal/DownloadPage.aspx?type=12&amp;guid=5bb531b9-031c-4cc3-9239-740cf6fe22bb" xr:uid="{6157EA72-187C-DA6C-CDE3-6DCC62FDCF6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726F7-AC7A-7915-7B0F-2F4634A6C011}"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289" sqref="A289:AH290"/>
    </sheetView>
  </sheetViews>
  <sheetFormatPr defaultColWidth="10.57421875" customHeight="1" defaultRowHeight="14.25"/>
  <cols>
    <col min="1" max="2" style="4912" width="25.140625" hidden="1" customWidth="1"/>
    <col min="3" max="3" style="4942" width="9.140625" hidden="1" customWidth="1"/>
    <col min="4" max="4" style="4943" width="3.00390625" customWidth="1"/>
    <col min="5" max="5" style="4921" width="6.00390625" customWidth="1"/>
    <col min="6" max="6" style="4921" width="46.7109375" customWidth="1"/>
    <col min="7" max="7" style="4921" width="35.00390625" customWidth="1"/>
    <col min="8" max="8" style="4921" width="3.00390625" customWidth="1"/>
    <col min="9" max="10" style="4921" width="11.00390625" customWidth="1"/>
    <col min="11" max="12" style="4921" width="35.00390625" customWidth="1"/>
    <col min="13" max="13" style="4921" width="84.00390625" customWidth="1"/>
    <col min="14" max="14" style="4921" width="10.00390625" customWidth="1"/>
    <col min="15" max="16" style="4866" width="10.00390625" customWidth="1"/>
    <col min="17" max="33" style="4921" width="10.00390625" customWidth="1"/>
    <col min="34" max="34" style="4921" width="10.57421875" hidden="1"/>
  </cols>
  <sheetData>
    <row s="4921"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921" customFormat="1" customHeight="1" ht="18.75" hidden="1">
      <c r="A2" s="1845" t="s">
        <v>160</v>
      </c>
      <c r="B2" s="1845" t="s">
        <v>161</v>
      </c>
      <c r="C2" s="434"/>
      <c r="D2" s="409"/>
      <c r="E2" s="1096"/>
      <c r="F2" s="1096"/>
      <c r="G2" s="2492" t="str">
        <f>INDEX(PT_DIFFERENTIATION_NTAR,MATCH(B2,PT_DIFFERENTIATION_NTAR_ID,0))</f>
        <v>Тариф на коллекторах источника тепловой энергии</v>
      </c>
      <c r="H2" s="1929"/>
      <c r="I2" s="1804"/>
      <c r="J2" s="1838"/>
      <c r="K2" s="1930"/>
      <c r="L2" s="1929" t="s">
        <v>325</v>
      </c>
      <c r="M2" s="1940"/>
      <c r="N2" s="399"/>
      <c r="O2" s="1689"/>
      <c r="P2" s="1689"/>
      <c r="AH2" s="1696">
        <v>0</v>
      </c>
    </row>
    <row s="4921" customFormat="1" customHeight="1" ht="18.75" hidden="1">
      <c r="A3" s="1845"/>
      <c r="B3" s="1845"/>
      <c r="C3" s="434" t="s">
        <v>1175</v>
      </c>
      <c r="D3" s="409"/>
      <c r="E3" s="1096"/>
      <c r="F3" s="1096"/>
      <c r="G3" s="2492"/>
      <c r="H3" s="1565"/>
      <c r="I3" s="716" t="s">
        <v>1176</v>
      </c>
      <c r="J3" s="636"/>
      <c r="K3" s="1565"/>
      <c r="L3" s="279"/>
      <c r="M3" s="1940"/>
      <c r="N3" s="399"/>
      <c r="O3" s="1689"/>
      <c r="P3" s="1689"/>
      <c r="AH3" s="1696">
        <v>0</v>
      </c>
    </row>
    <row s="4921"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921" customFormat="1" customHeight="1" ht="18.75" hidden="1">
      <c r="A5" s="1845" t="s">
        <v>160</v>
      </c>
      <c r="B5" s="1845" t="s">
        <v>161</v>
      </c>
      <c r="C5" s="434"/>
      <c r="D5" s="409"/>
      <c r="E5" s="1096"/>
      <c r="F5" s="1096"/>
      <c r="G5" s="2492" t="str">
        <f>INDEX(PT_DIFFERENTIATION_NTAR,MATCH(B5,PT_DIFFERENTIATION_NTAR_ID,0))</f>
        <v>Тариф на коллекторах источника тепловой энергии</v>
      </c>
      <c r="H5" s="1929"/>
      <c r="I5" s="1804"/>
      <c r="J5" s="1838"/>
      <c r="K5" s="1843"/>
      <c r="L5" s="1929" t="s">
        <v>325</v>
      </c>
      <c r="M5" s="1940"/>
      <c r="N5" s="399"/>
      <c r="O5" s="1689"/>
      <c r="P5" s="1689"/>
      <c r="AH5" s="1696">
        <v>0</v>
      </c>
    </row>
    <row s="4921" customFormat="1" customHeight="1" ht="18.75" hidden="1">
      <c r="A6" s="1845"/>
      <c r="B6" s="1845"/>
      <c r="C6" s="434" t="s">
        <v>1177</v>
      </c>
      <c r="D6" s="409"/>
      <c r="E6" s="1096"/>
      <c r="F6" s="1096"/>
      <c r="G6" s="2492"/>
      <c r="H6" s="1565"/>
      <c r="I6" s="716" t="s">
        <v>1176</v>
      </c>
      <c r="J6" s="636"/>
      <c r="K6" s="1565"/>
      <c r="L6" s="279"/>
      <c r="M6" s="1940"/>
      <c r="N6" s="399"/>
      <c r="O6" s="1689"/>
      <c r="P6" s="1689"/>
      <c r="AH6" s="1696">
        <v>0</v>
      </c>
    </row>
    <row s="4921"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921" customFormat="1" customHeight="1" ht="56.25" hidden="1">
      <c r="A8" s="1845"/>
      <c r="B8" s="1845"/>
      <c r="C8" s="434"/>
      <c r="D8" s="409"/>
      <c r="E8" s="1096"/>
      <c r="F8" s="1096"/>
      <c r="G8" s="1096"/>
      <c r="H8" s="1836"/>
      <c r="I8" s="1804"/>
      <c r="J8" s="1838"/>
      <c r="K8" s="1930"/>
      <c r="L8" s="1836" t="s">
        <v>325</v>
      </c>
      <c r="M8" s="1940"/>
      <c r="N8" s="399"/>
      <c r="O8" s="1689"/>
      <c r="P8" s="1689"/>
      <c r="AH8" s="1696">
        <v>0</v>
      </c>
    </row>
    <row customHeight="1" ht="14.25" hidden="1">
      <c r="T9" s="462"/>
      <c r="AG9" s="320"/>
      <c r="AH9" s="439">
        <v>0</v>
      </c>
    </row>
    <row s="4921" customFormat="1" customHeight="1" ht="56.25" hidden="1">
      <c r="A10" s="1845"/>
      <c r="B10" s="1845"/>
      <c r="C10" s="434"/>
      <c r="D10" s="409"/>
      <c r="E10" s="1096"/>
      <c r="F10" s="1096"/>
      <c r="G10" s="1096"/>
      <c r="H10" s="1835"/>
      <c r="I10" s="1804"/>
      <c r="J10" s="1838"/>
      <c r="K10" s="1843"/>
      <c r="L10" s="1836" t="s">
        <v>325</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изменении тарифов</v>
      </c>
      <c r="G16" s="2329" t="str">
        <f>IF(TITLE_DATE_PR_CHANGE="",IF(TITLE_DATE_PR="","",TITLE_DATE_PR),TITLE_DATE_PR_CHANGE)</f>
        <v>45643.434652777774</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изменении тарифов</v>
      </c>
      <c r="G17" s="2316" t="str">
        <f>IF(TITLE_NUMBER_PR_CHANGE="",IF(TITLE_NUMBER_PR="","",TITLE_NUMBER_PR),TITLE_NUMBER_PR_CHANGE)</f>
        <v>71/2</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319</v>
      </c>
      <c r="F19" s="2274"/>
      <c r="G19" s="2274"/>
      <c r="H19" s="2274"/>
      <c r="I19" s="2274"/>
      <c r="J19" s="2274"/>
      <c r="K19" s="2274"/>
      <c r="L19" s="2274"/>
      <c r="M19" s="2454" t="s">
        <v>320</v>
      </c>
      <c r="AH19" s="439">
        <v>21</v>
      </c>
    </row>
    <row customHeight="1" ht="22.049999999999997">
      <c r="D20" s="441"/>
      <c r="E20" s="2342" t="s">
        <v>91</v>
      </c>
      <c r="F20" s="2289" t="s">
        <v>125</v>
      </c>
      <c r="G20" s="2289" t="s">
        <v>126</v>
      </c>
      <c r="H20" s="2451" t="s">
        <v>1178</v>
      </c>
      <c r="I20" s="2452"/>
      <c r="J20" s="2498"/>
      <c r="K20" s="2289" t="s">
        <v>322</v>
      </c>
      <c r="L20" s="2289" t="s">
        <v>409</v>
      </c>
      <c r="M20" s="2454"/>
      <c r="AH20" s="439">
        <v>21</v>
      </c>
    </row>
    <row customHeight="1" ht="22.049999999999997">
      <c r="D21" s="441"/>
      <c r="E21" s="2344"/>
      <c r="F21" s="2290"/>
      <c r="G21" s="2290"/>
      <c r="H21" s="2283" t="s">
        <v>1179</v>
      </c>
      <c r="I21" s="2285"/>
      <c r="J21" s="173" t="s">
        <v>1180</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112</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325</v>
      </c>
      <c r="L23" s="2526"/>
      <c r="M23" s="1834"/>
      <c r="N23" s="399"/>
      <c r="AH23" s="439">
        <v>19</v>
      </c>
    </row>
    <row customHeight="1" ht="60.75" hidden="1">
      <c r="A24" s="1845" t="s">
        <v>160</v>
      </c>
      <c r="B24" s="1845" t="s">
        <v>161</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Тариф на коллекторах источника тепловой энергии</v>
      </c>
      <c r="H24" s="1927"/>
      <c r="I24" s="1804"/>
      <c r="J24" s="1838"/>
      <c r="K24" s="1930"/>
      <c r="L24" s="1833" t="s">
        <v>325</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921" customFormat="1" customHeight="1" ht="18.75" hidden="1">
      <c r="A25" s="1845"/>
      <c r="B25" s="1845"/>
      <c r="C25" s="434" t="s">
        <v>1175</v>
      </c>
      <c r="D25" s="2531"/>
      <c r="E25" s="2269"/>
      <c r="F25" s="2535"/>
      <c r="G25" s="2492"/>
      <c r="H25" s="1565"/>
      <c r="I25" s="716" t="s">
        <v>1176</v>
      </c>
      <c r="J25" s="636"/>
      <c r="K25" s="1565"/>
      <c r="L25" s="279"/>
      <c r="M25" s="2235"/>
      <c r="N25" s="399"/>
      <c r="O25" s="1689"/>
      <c r="P25" s="1689"/>
      <c r="AH25" s="1696">
        <v>0</v>
      </c>
    </row>
    <row customHeight="1" ht="0.75" hidden="1">
      <c r="A26" s="1845"/>
      <c r="B26" s="1845"/>
      <c r="C26" s="434" t="s">
        <v>1181</v>
      </c>
      <c r="D26" s="2531"/>
      <c r="E26" s="2269"/>
      <c r="F26" s="2448"/>
      <c r="G26" s="465"/>
      <c r="H26" s="1565"/>
      <c r="I26" s="460"/>
      <c r="J26" s="414"/>
      <c r="K26" s="1565"/>
      <c r="L26" s="266"/>
      <c r="M26" s="2235"/>
      <c r="N26" s="399"/>
      <c r="AH26" s="439">
        <v>0</v>
      </c>
    </row>
    <row s="4921" customFormat="1" customHeight="1" ht="45" hidden="1">
      <c r="A27" s="1845" t="s">
        <v>172</v>
      </c>
      <c r="B27" s="1845" t="s">
        <v>173</v>
      </c>
      <c r="C27" s="434"/>
      <c r="D27" s="2527"/>
      <c r="E27" s="2528"/>
      <c r="F27" s="25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2" t="str">
        <f>INDEX(PT_DIFFERENTIATION_NTAR,MATCH(B27,PT_DIFFERENTIATION_NTAR_ID,0))</f>
        <v>Тариф для потребителей, подключенных к тепловым сетям
</v>
      </c>
      <c r="H27" s="1927"/>
      <c r="I27" s="1804"/>
      <c r="J27" s="1838"/>
      <c r="K27" s="1930"/>
      <c r="L27" s="1927" t="s">
        <v>325</v>
      </c>
      <c r="M27" s="2235"/>
      <c r="N27" s="399"/>
      <c r="O27" s="1689"/>
      <c r="P27" s="1689"/>
      <c r="AH27" s="1696">
        <v>0</v>
      </c>
    </row>
    <row s="4921" customFormat="1" customHeight="1" ht="18.75" hidden="1">
      <c r="A28" s="1845"/>
      <c r="B28" s="1845"/>
      <c r="C28" s="434" t="s">
        <v>1175</v>
      </c>
      <c r="D28" s="2527"/>
      <c r="E28" s="2528"/>
      <c r="F28" s="2529"/>
      <c r="G28" s="2492"/>
      <c r="H28" s="1565"/>
      <c r="I28" s="716" t="s">
        <v>1176</v>
      </c>
      <c r="J28" s="636"/>
      <c r="K28" s="1565"/>
      <c r="L28" s="279"/>
      <c r="M28" s="2235"/>
      <c r="N28" s="399"/>
      <c r="O28" s="1689"/>
      <c r="P28" s="1689"/>
      <c r="AH28" s="1696">
        <v>0</v>
      </c>
    </row>
    <row s="4921" customFormat="1" customHeight="1" ht="0.75" hidden="1">
      <c r="A29" s="1845"/>
      <c r="B29" s="1845"/>
      <c r="C29" s="434" t="s">
        <v>1181</v>
      </c>
      <c r="D29" s="2527"/>
      <c r="E29" s="2269"/>
      <c r="F29" s="2448"/>
      <c r="G29" s="465"/>
      <c r="H29" s="1565"/>
      <c r="I29" s="716"/>
      <c r="J29" s="636"/>
      <c r="K29" s="1565"/>
      <c r="L29" s="279"/>
      <c r="M29" s="2235"/>
      <c r="N29" s="399"/>
      <c r="O29" s="1689"/>
      <c r="P29" s="1689"/>
      <c r="AH29" s="1696">
        <v>0</v>
      </c>
    </row>
    <row s="4921" customFormat="1" customHeight="1" ht="45" hidden="1">
      <c r="A30" s="1845" t="s">
        <v>180</v>
      </c>
      <c r="B30" s="1845" t="s">
        <v>181</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Тариф на теплоноситель, поставляемый потребителям
</v>
      </c>
      <c r="H30" s="1927"/>
      <c r="I30" s="1804"/>
      <c r="J30" s="1838"/>
      <c r="K30" s="1930"/>
      <c r="L30" s="1927" t="s">
        <v>325</v>
      </c>
      <c r="M30" s="2235"/>
      <c r="N30" s="399"/>
      <c r="O30" s="1689"/>
      <c r="P30" s="1689"/>
      <c r="AH30" s="1696">
        <v>0</v>
      </c>
    </row>
    <row s="4921" customFormat="1" customHeight="1" ht="18.75" hidden="1">
      <c r="A31" s="1845"/>
      <c r="B31" s="1845"/>
      <c r="C31" s="434" t="s">
        <v>1175</v>
      </c>
      <c r="D31" s="2527"/>
      <c r="E31" s="2269"/>
      <c r="F31" s="2448"/>
      <c r="G31" s="2492"/>
      <c r="H31" s="1565"/>
      <c r="I31" s="716" t="s">
        <v>1176</v>
      </c>
      <c r="J31" s="636"/>
      <c r="K31" s="1565"/>
      <c r="L31" s="279"/>
      <c r="M31" s="2235"/>
      <c r="N31" s="399"/>
      <c r="O31" s="1689"/>
      <c r="P31" s="1689"/>
      <c r="AH31" s="1696">
        <v>0</v>
      </c>
    </row>
    <row s="4921" customFormat="1" customHeight="1" ht="0.75" hidden="1">
      <c r="A32" s="1845"/>
      <c r="B32" s="1845"/>
      <c r="C32" s="434" t="s">
        <v>1181</v>
      </c>
      <c r="D32" s="2527"/>
      <c r="E32" s="2269"/>
      <c r="F32" s="2448"/>
      <c r="G32" s="465"/>
      <c r="H32" s="1565"/>
      <c r="I32" s="716"/>
      <c r="J32" s="636"/>
      <c r="K32" s="1565"/>
      <c r="L32" s="279"/>
      <c r="M32" s="2235"/>
      <c r="N32" s="399"/>
      <c r="O32" s="1689"/>
      <c r="P32" s="1689"/>
      <c r="AH32" s="1696">
        <v>0</v>
      </c>
    </row>
    <row s="4921" customFormat="1" customHeight="1" ht="45" hidden="1">
      <c r="A33" s="1845" t="s">
        <v>188</v>
      </c>
      <c r="B33" s="1845" t="s">
        <v>189</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Тариф на горячую воду, поставляемую потребителям с коллекторов</v>
      </c>
      <c r="H33" s="1927"/>
      <c r="I33" s="1804"/>
      <c r="J33" s="1838"/>
      <c r="K33" s="1930"/>
      <c r="L33" s="1927" t="s">
        <v>325</v>
      </c>
      <c r="M33" s="2235"/>
      <c r="N33" s="399"/>
      <c r="O33" s="1689"/>
      <c r="P33" s="1689"/>
      <c r="AH33" s="1696">
        <v>0</v>
      </c>
    </row>
    <row s="4921" customFormat="1" customHeight="1" ht="18.75" hidden="1">
      <c r="A34" s="1845"/>
      <c r="B34" s="1845"/>
      <c r="C34" s="434" t="s">
        <v>1175</v>
      </c>
      <c r="D34" s="2527"/>
      <c r="E34" s="2269"/>
      <c r="F34" s="2448"/>
      <c r="G34" s="2492"/>
      <c r="H34" s="1565"/>
      <c r="I34" s="716" t="s">
        <v>1176</v>
      </c>
      <c r="J34" s="636"/>
      <c r="K34" s="1565"/>
      <c r="L34" s="279"/>
      <c r="M34" s="2235"/>
      <c r="N34" s="399"/>
      <c r="O34" s="1689"/>
      <c r="P34" s="1689"/>
      <c r="AH34" s="1696">
        <v>0</v>
      </c>
    </row>
    <row s="4921" customFormat="1" customHeight="1" ht="18.75">
      <c r="A35" s="3917" t="s">
        <v>188</v>
      </c>
      <c r="B35" s="3917" t="s">
        <v>195</v>
      </c>
      <c r="C35" s="4942"/>
      <c r="D35" s="4943"/>
      <c r="E35" s="4944"/>
      <c r="F35" s="4944"/>
      <c r="G35" s="4945" t="str">
        <f>INDEX(PT_DIFFERENTIATION_NTAR,MATCH(B35,PT_DIFFERENTIATION_NTAR_ID,0))</f>
        <v>Тариф на горячую воду, поставляемую потребителям из тепловых сетей​</v>
      </c>
      <c r="H35" s="4946"/>
      <c r="I35" s="4947"/>
      <c r="J35" s="4948"/>
      <c r="K35" s="4949"/>
      <c r="L35" s="4946" t="s">
        <v>325</v>
      </c>
      <c r="M35" s="4950"/>
      <c r="N35" s="4951"/>
      <c r="O35" s="3927"/>
      <c r="P35" s="3927"/>
      <c r="Q35" s="3928"/>
      <c r="R35" s="3928"/>
      <c r="S35" s="3928"/>
      <c r="T35" s="3928"/>
      <c r="U35" s="3928"/>
      <c r="V35" s="3928"/>
      <c r="W35" s="3928"/>
      <c r="X35" s="3928"/>
      <c r="Y35" s="3928"/>
      <c r="Z35" s="3928"/>
      <c r="AA35" s="3928"/>
      <c r="AB35" s="3928"/>
      <c r="AC35" s="3928"/>
      <c r="AD35" s="3928"/>
      <c r="AE35" s="3928"/>
      <c r="AF35" s="3928"/>
      <c r="AG35" s="3928"/>
      <c r="AH35" s="3928">
        <v>0</v>
      </c>
    </row>
    <row s="4921" customFormat="1" customHeight="1" ht="18.75">
      <c r="A36" s="3917"/>
      <c r="B36" s="3917"/>
      <c r="C36" s="4942" t="s">
        <v>1175</v>
      </c>
      <c r="D36" s="4943"/>
      <c r="E36" s="4944"/>
      <c r="F36" s="4944"/>
      <c r="G36" s="4945"/>
      <c r="H36" s="4952"/>
      <c r="I36" s="4953" t="s">
        <v>1176</v>
      </c>
      <c r="J36" s="4954"/>
      <c r="K36" s="4955"/>
      <c r="L36" s="4956"/>
      <c r="M36" s="4950"/>
      <c r="N36" s="4951"/>
      <c r="O36" s="3927"/>
      <c r="P36" s="3927"/>
      <c r="Q36" s="3928"/>
      <c r="R36" s="3928"/>
      <c r="S36" s="3928"/>
      <c r="T36" s="3928"/>
      <c r="U36" s="3928"/>
      <c r="V36" s="3928"/>
      <c r="W36" s="3928"/>
      <c r="X36" s="3928"/>
      <c r="Y36" s="3928"/>
      <c r="Z36" s="3928"/>
      <c r="AA36" s="3928"/>
      <c r="AB36" s="3928"/>
      <c r="AC36" s="3928"/>
      <c r="AD36" s="3928"/>
      <c r="AE36" s="3928"/>
      <c r="AF36" s="3928"/>
      <c r="AG36" s="3928"/>
      <c r="AH36" s="3928">
        <v>0</v>
      </c>
    </row>
    <row s="4921" customFormat="1" customHeight="1" ht="0.75" hidden="1">
      <c r="A37" s="1845"/>
      <c r="B37" s="1845"/>
      <c r="C37" s="434" t="s">
        <v>1181</v>
      </c>
      <c r="D37" s="2527"/>
      <c r="E37" s="2269"/>
      <c r="F37" s="2448"/>
      <c r="G37" s="465"/>
      <c r="H37" s="1565"/>
      <c r="I37" s="716"/>
      <c r="J37" s="636"/>
      <c r="K37" s="1565"/>
      <c r="L37" s="279"/>
      <c r="M37" s="2235"/>
      <c r="N37" s="399"/>
      <c r="O37" s="1689"/>
      <c r="P37" s="1689"/>
      <c r="AH37" s="1696">
        <v>0</v>
      </c>
    </row>
    <row s="4921" customFormat="1" customHeight="1" ht="18.75" hidden="1">
      <c r="A38" s="1845" t="s">
        <v>200</v>
      </c>
      <c r="B38" s="1845" t="s">
        <v>201</v>
      </c>
      <c r="C38" s="434"/>
      <c r="D38" s="2527"/>
      <c r="E38" s="2269"/>
      <c r="F38" s="2448" t="str">
        <f>INDEX(PT_DIFFERENTIATION_VTAR,MATCH(A38,PT_DIFFERENTIATION_VTAR_ID,0))</f>
        <v>Тарифы на услуги по передаче тепловой энергии</v>
      </c>
      <c r="G38" s="2492" t="str">
        <f>INDEX(PT_DIFFERENTIATION_NTAR,MATCH(B38,PT_DIFFERENTIATION_NTAR_ID,0))</f>
        <v/>
      </c>
      <c r="H38" s="1927"/>
      <c r="I38" s="1804"/>
      <c r="J38" s="1838"/>
      <c r="K38" s="1930"/>
      <c r="L38" s="1927" t="s">
        <v>325</v>
      </c>
      <c r="M38" s="2235"/>
      <c r="N38" s="399"/>
      <c r="O38" s="1689"/>
      <c r="P38" s="1689"/>
      <c r="AH38" s="1696">
        <v>0</v>
      </c>
    </row>
    <row s="4921" customFormat="1" customHeight="1" ht="18.75" hidden="1">
      <c r="A39" s="1845"/>
      <c r="B39" s="1845"/>
      <c r="C39" s="434" t="s">
        <v>1175</v>
      </c>
      <c r="D39" s="2527"/>
      <c r="E39" s="2269"/>
      <c r="F39" s="2448"/>
      <c r="G39" s="2492"/>
      <c r="H39" s="1565"/>
      <c r="I39" s="716" t="s">
        <v>1176</v>
      </c>
      <c r="J39" s="636"/>
      <c r="K39" s="1565"/>
      <c r="L39" s="279"/>
      <c r="M39" s="2235"/>
      <c r="N39" s="399"/>
      <c r="O39" s="1689"/>
      <c r="P39" s="1689"/>
      <c r="AH39" s="1696">
        <v>0</v>
      </c>
    </row>
    <row s="4921" customFormat="1" customHeight="1" ht="0.75" hidden="1">
      <c r="A40" s="1845"/>
      <c r="B40" s="1845"/>
      <c r="C40" s="434" t="s">
        <v>1181</v>
      </c>
      <c r="D40" s="2527"/>
      <c r="E40" s="2269"/>
      <c r="F40" s="2448"/>
      <c r="G40" s="465"/>
      <c r="H40" s="1565"/>
      <c r="I40" s="716"/>
      <c r="J40" s="636"/>
      <c r="K40" s="1565"/>
      <c r="L40" s="279"/>
      <c r="M40" s="2235"/>
      <c r="N40" s="399"/>
      <c r="O40" s="1689"/>
      <c r="P40" s="1689"/>
      <c r="AH40" s="1696">
        <v>0</v>
      </c>
    </row>
    <row s="4921" customFormat="1" customHeight="1" ht="18.75" hidden="1">
      <c r="A41" s="1845" t="s">
        <v>206</v>
      </c>
      <c r="B41" s="1845" t="s">
        <v>207</v>
      </c>
      <c r="C41" s="434"/>
      <c r="D41" s="2527"/>
      <c r="E41" s="2269"/>
      <c r="F41" s="2448" t="str">
        <f>INDEX(PT_DIFFERENTIATION_VTAR,MATCH(A41,PT_DIFFERENTIATION_VTAR_ID,0))</f>
        <v>Тарифы на услуги по передаче теплоносителя</v>
      </c>
      <c r="G41" s="2492" t="str">
        <f>INDEX(PT_DIFFERENTIATION_NTAR,MATCH(B41,PT_DIFFERENTIATION_NTAR_ID,0))</f>
        <v/>
      </c>
      <c r="H41" s="1927"/>
      <c r="I41" s="1804"/>
      <c r="J41" s="1838"/>
      <c r="K41" s="1930"/>
      <c r="L41" s="1927" t="s">
        <v>325</v>
      </c>
      <c r="M41" s="2235"/>
      <c r="N41" s="399"/>
      <c r="O41" s="1689"/>
      <c r="P41" s="1689"/>
      <c r="AH41" s="1696">
        <v>0</v>
      </c>
    </row>
    <row s="4921" customFormat="1" customHeight="1" ht="18.75" hidden="1">
      <c r="A42" s="1845"/>
      <c r="B42" s="1845"/>
      <c r="C42" s="434" t="s">
        <v>1175</v>
      </c>
      <c r="D42" s="2527"/>
      <c r="E42" s="2269"/>
      <c r="F42" s="2448"/>
      <c r="G42" s="2492"/>
      <c r="H42" s="1565"/>
      <c r="I42" s="716" t="s">
        <v>1176</v>
      </c>
      <c r="J42" s="636"/>
      <c r="K42" s="1565"/>
      <c r="L42" s="279"/>
      <c r="M42" s="2235"/>
      <c r="N42" s="399"/>
      <c r="O42" s="1689"/>
      <c r="P42" s="1689"/>
      <c r="AH42" s="1696">
        <v>0</v>
      </c>
    </row>
    <row s="4921" customFormat="1" customHeight="1" ht="0.75" hidden="1">
      <c r="A43" s="1845"/>
      <c r="B43" s="1845"/>
      <c r="C43" s="434" t="s">
        <v>1181</v>
      </c>
      <c r="D43" s="2527"/>
      <c r="E43" s="2269"/>
      <c r="F43" s="2448"/>
      <c r="G43" s="465"/>
      <c r="H43" s="1565"/>
      <c r="I43" s="716"/>
      <c r="J43" s="636"/>
      <c r="K43" s="1565"/>
      <c r="L43" s="279"/>
      <c r="M43" s="2235"/>
      <c r="N43" s="399"/>
      <c r="O43" s="1689"/>
      <c r="P43" s="1689"/>
      <c r="AH43" s="1696">
        <v>0</v>
      </c>
    </row>
    <row s="4921" customFormat="1" customHeight="1" ht="18.75" hidden="1">
      <c r="A44" s="1845" t="s">
        <v>212</v>
      </c>
      <c r="B44" s="1845" t="s">
        <v>213</v>
      </c>
      <c r="C44" s="434"/>
      <c r="D44" s="2527"/>
      <c r="E44" s="2269"/>
      <c r="F44" s="2448" t="str">
        <f>INDEX(PT_DIFFERENTIATION_VTAR,MATCH(A44,PT_DIFFERENTIATION_VTAR_ID,0))</f>
        <v>Плата за услуги по поддержанию резервной тепловой мощности при отсутствии потребления тепловой энергии</v>
      </c>
      <c r="G44" s="2492" t="str">
        <f>INDEX(PT_DIFFERENTIATION_NTAR,MATCH(B44,PT_DIFFERENTIATION_NTAR_ID,0))</f>
        <v/>
      </c>
      <c r="H44" s="1927"/>
      <c r="I44" s="1804"/>
      <c r="J44" s="1838"/>
      <c r="K44" s="1930"/>
      <c r="L44" s="1927" t="s">
        <v>325</v>
      </c>
      <c r="M44" s="2235"/>
      <c r="N44" s="399"/>
      <c r="O44" s="1689"/>
      <c r="P44" s="1689"/>
      <c r="AH44" s="1696">
        <v>0</v>
      </c>
    </row>
    <row s="4921" customFormat="1" customHeight="1" ht="18.75" hidden="1">
      <c r="A45" s="1845"/>
      <c r="B45" s="1845"/>
      <c r="C45" s="434" t="s">
        <v>1175</v>
      </c>
      <c r="D45" s="2527"/>
      <c r="E45" s="2269"/>
      <c r="F45" s="2448"/>
      <c r="G45" s="2492"/>
      <c r="H45" s="1565"/>
      <c r="I45" s="716" t="s">
        <v>1176</v>
      </c>
      <c r="J45" s="636"/>
      <c r="K45" s="1565"/>
      <c r="L45" s="279"/>
      <c r="M45" s="2235"/>
      <c r="N45" s="399"/>
      <c r="O45" s="1689"/>
      <c r="P45" s="1689"/>
      <c r="AH45" s="1696">
        <v>0</v>
      </c>
    </row>
    <row s="4921" customFormat="1" customHeight="1" ht="0.75" hidden="1">
      <c r="A46" s="1845"/>
      <c r="B46" s="1845"/>
      <c r="C46" s="434" t="s">
        <v>1181</v>
      </c>
      <c r="D46" s="2527"/>
      <c r="E46" s="2269"/>
      <c r="F46" s="2448"/>
      <c r="G46" s="465"/>
      <c r="H46" s="1565"/>
      <c r="I46" s="716"/>
      <c r="J46" s="636"/>
      <c r="K46" s="1565"/>
      <c r="L46" s="279"/>
      <c r="M46" s="2235"/>
      <c r="N46" s="399"/>
      <c r="O46" s="1689"/>
      <c r="P46" s="1689"/>
      <c r="AH46" s="1696">
        <v>0</v>
      </c>
    </row>
    <row s="4921" customFormat="1" customHeight="1" ht="18.75" hidden="1">
      <c r="A47" s="1845" t="s">
        <v>218</v>
      </c>
      <c r="B47" s="1845" t="s">
        <v>219</v>
      </c>
      <c r="C47" s="434"/>
      <c r="D47" s="2527"/>
      <c r="E47" s="2269"/>
      <c r="F47" s="2448" t="str">
        <f>INDEX(PT_DIFFERENTIATION_VTAR,MATCH(A47,PT_DIFFERENTIATION_VTAR_ID,0))</f>
        <v>Плата за подключение (технологическое присоединение) к системе теплоснабжения</v>
      </c>
      <c r="G47" s="2492" t="str">
        <f>INDEX(PT_DIFFERENTIATION_NTAR,MATCH(B47,PT_DIFFERENTIATION_NTAR_ID,0))</f>
        <v/>
      </c>
      <c r="H47" s="1927"/>
      <c r="I47" s="1804"/>
      <c r="J47" s="1838"/>
      <c r="K47" s="1930"/>
      <c r="L47" s="1927" t="s">
        <v>325</v>
      </c>
      <c r="M47" s="2235"/>
      <c r="N47" s="399"/>
      <c r="O47" s="1689"/>
      <c r="P47" s="1689"/>
      <c r="AH47" s="1696">
        <v>0</v>
      </c>
    </row>
    <row s="4921" customFormat="1" customHeight="1" ht="18.75" hidden="1">
      <c r="A48" s="1845"/>
      <c r="B48" s="1845"/>
      <c r="C48" s="434" t="s">
        <v>1175</v>
      </c>
      <c r="D48" s="2527"/>
      <c r="E48" s="2269"/>
      <c r="F48" s="2448"/>
      <c r="G48" s="2492"/>
      <c r="H48" s="1565"/>
      <c r="I48" s="716" t="s">
        <v>1176</v>
      </c>
      <c r="J48" s="636"/>
      <c r="K48" s="1565"/>
      <c r="L48" s="279"/>
      <c r="M48" s="2235"/>
      <c r="N48" s="399"/>
      <c r="O48" s="1689"/>
      <c r="P48" s="1689"/>
      <c r="AH48" s="1696">
        <v>0</v>
      </c>
    </row>
    <row s="4921" customFormat="1" customHeight="1" ht="0.75" hidden="1">
      <c r="A49" s="1845"/>
      <c r="B49" s="1845"/>
      <c r="C49" s="434" t="s">
        <v>1181</v>
      </c>
      <c r="D49" s="2527"/>
      <c r="E49" s="2269"/>
      <c r="F49" s="2448"/>
      <c r="G49" s="465"/>
      <c r="H49" s="1565"/>
      <c r="I49" s="716"/>
      <c r="J49" s="636"/>
      <c r="K49" s="1565"/>
      <c r="L49" s="279"/>
      <c r="M49" s="2235"/>
      <c r="N49" s="399"/>
      <c r="O49" s="1689"/>
      <c r="P49" s="1689"/>
      <c r="AH49" s="1696">
        <v>0</v>
      </c>
    </row>
    <row s="4921" customFormat="1" customHeight="1" ht="18.75" hidden="1">
      <c r="A50" s="1845" t="s">
        <v>224</v>
      </c>
      <c r="B50" s="1845" t="s">
        <v>225</v>
      </c>
      <c r="C50" s="434"/>
      <c r="D50" s="2527"/>
      <c r="E50" s="2269"/>
      <c r="F50" s="2448" t="str">
        <f>INDEX(PT_DIFFERENTIATION_VTAR,MATCH(A50,PT_DIFFERENTIATION_VTAR_ID,0))</f>
        <v>Плата за подключение (технологическое присоединение) к системе теплоснабжения (индивидуальная)</v>
      </c>
      <c r="G50" s="2492" t="str">
        <f>INDEX(PT_DIFFERENTIATION_NTAR,MATCH(B50,PT_DIFFERENTIATION_NTAR_ID,0))</f>
        <v/>
      </c>
      <c r="H50" s="2054"/>
      <c r="I50" s="1804"/>
      <c r="J50" s="1838"/>
      <c r="K50" s="1930"/>
      <c r="L50" s="2054" t="s">
        <v>325</v>
      </c>
      <c r="M50" s="2235"/>
      <c r="N50" s="399"/>
      <c r="O50" s="1689"/>
      <c r="P50" s="1689"/>
      <c r="AH50" s="1696">
        <v>0</v>
      </c>
    </row>
    <row s="4921" customFormat="1" customHeight="1" ht="18.75" hidden="1">
      <c r="A51" s="1845"/>
      <c r="B51" s="1845"/>
      <c r="C51" s="434" t="s">
        <v>1175</v>
      </c>
      <c r="D51" s="2527"/>
      <c r="E51" s="2269"/>
      <c r="F51" s="2448"/>
      <c r="G51" s="2492"/>
      <c r="H51" s="1565"/>
      <c r="I51" s="716" t="s">
        <v>1176</v>
      </c>
      <c r="J51" s="636"/>
      <c r="K51" s="1565"/>
      <c r="L51" s="279"/>
      <c r="M51" s="2235"/>
      <c r="N51" s="399"/>
      <c r="O51" s="1689"/>
      <c r="P51" s="1689"/>
      <c r="AH51" s="1696">
        <v>0</v>
      </c>
    </row>
    <row s="4921" customFormat="1" customHeight="1" ht="0.75" hidden="1">
      <c r="A52" s="1845"/>
      <c r="B52" s="1845"/>
      <c r="C52" s="434" t="s">
        <v>1181</v>
      </c>
      <c r="D52" s="2527"/>
      <c r="E52" s="2269"/>
      <c r="F52" s="2448"/>
      <c r="G52" s="465"/>
      <c r="H52" s="1565"/>
      <c r="I52" s="716"/>
      <c r="J52" s="636"/>
      <c r="K52" s="1565"/>
      <c r="L52" s="279"/>
      <c r="M52" s="2235"/>
      <c r="N52" s="399"/>
      <c r="O52" s="1689"/>
      <c r="P52" s="1689"/>
      <c r="AH52" s="1696">
        <v>0</v>
      </c>
    </row>
    <row s="4921" customFormat="1" customHeight="1" ht="18.75" hidden="1">
      <c r="A53" s="1845" t="s">
        <v>244</v>
      </c>
      <c r="B53" s="1845" t="s">
        <v>245</v>
      </c>
      <c r="C53" s="434"/>
      <c r="D53" s="2527"/>
      <c r="E53" s="2269"/>
      <c r="F53" s="2448" t="str">
        <f>INDEX(PT_DIFFERENTIATION_VTAR,MATCH(A53,PT_DIFFERENTIATION_VTAR_ID,0))</f>
        <v>Тариф на питьевую воду (питьевое водоснабжение)</v>
      </c>
      <c r="G53" s="2492" t="str">
        <f>INDEX(PT_DIFFERENTIATION_NTAR,MATCH(B53,PT_DIFFERENTIATION_NTAR_ID,0))</f>
        <v/>
      </c>
      <c r="H53" s="1927"/>
      <c r="I53" s="1804"/>
      <c r="J53" s="1838"/>
      <c r="K53" s="1930"/>
      <c r="L53" s="1927" t="s">
        <v>325</v>
      </c>
      <c r="M53" s="2235"/>
      <c r="N53" s="399"/>
      <c r="O53" s="1689"/>
      <c r="P53" s="1689"/>
      <c r="AH53" s="1696">
        <v>0</v>
      </c>
    </row>
    <row s="4921" customFormat="1" customHeight="1" ht="18.75" hidden="1">
      <c r="A54" s="1845"/>
      <c r="B54" s="1845"/>
      <c r="C54" s="434" t="s">
        <v>1175</v>
      </c>
      <c r="D54" s="2527"/>
      <c r="E54" s="2269"/>
      <c r="F54" s="2448"/>
      <c r="G54" s="2492"/>
      <c r="H54" s="1565"/>
      <c r="I54" s="716" t="s">
        <v>1176</v>
      </c>
      <c r="J54" s="636"/>
      <c r="K54" s="1565"/>
      <c r="L54" s="279"/>
      <c r="M54" s="2235"/>
      <c r="N54" s="399"/>
      <c r="O54" s="1689"/>
      <c r="P54" s="1689"/>
      <c r="AH54" s="1696">
        <v>0</v>
      </c>
    </row>
    <row s="4921" customFormat="1" customHeight="1" ht="0.75" hidden="1">
      <c r="A55" s="1845"/>
      <c r="B55" s="1845"/>
      <c r="C55" s="434" t="s">
        <v>1181</v>
      </c>
      <c r="D55" s="2527"/>
      <c r="E55" s="2269"/>
      <c r="F55" s="2448"/>
      <c r="G55" s="465"/>
      <c r="H55" s="1565"/>
      <c r="I55" s="716"/>
      <c r="J55" s="636"/>
      <c r="K55" s="1565"/>
      <c r="L55" s="279"/>
      <c r="M55" s="2235"/>
      <c r="N55" s="399"/>
      <c r="O55" s="1689"/>
      <c r="P55" s="1689"/>
      <c r="AH55" s="1696">
        <v>0</v>
      </c>
    </row>
    <row s="4921" customFormat="1" customHeight="1" ht="18.75" hidden="1">
      <c r="A56" s="1845" t="s">
        <v>249</v>
      </c>
      <c r="B56" s="1845" t="s">
        <v>250</v>
      </c>
      <c r="C56" s="434"/>
      <c r="D56" s="2527"/>
      <c r="E56" s="2269"/>
      <c r="F56" s="2448" t="str">
        <f>INDEX(PT_DIFFERENTIATION_VTAR,MATCH(A56,PT_DIFFERENTIATION_VTAR_ID,0))</f>
        <v>Тариф на техническую воду</v>
      </c>
      <c r="G56" s="2492" t="str">
        <f>INDEX(PT_DIFFERENTIATION_NTAR,MATCH(B56,PT_DIFFERENTIATION_NTAR_ID,0))</f>
        <v/>
      </c>
      <c r="H56" s="1927"/>
      <c r="I56" s="1804"/>
      <c r="J56" s="1838"/>
      <c r="K56" s="1930"/>
      <c r="L56" s="1927" t="s">
        <v>325</v>
      </c>
      <c r="M56" s="2235"/>
      <c r="N56" s="399"/>
      <c r="O56" s="1689"/>
      <c r="P56" s="1689"/>
      <c r="AH56" s="1696">
        <v>0</v>
      </c>
    </row>
    <row s="4921" customFormat="1" customHeight="1" ht="18.75" hidden="1">
      <c r="A57" s="1845"/>
      <c r="B57" s="1845"/>
      <c r="C57" s="434" t="s">
        <v>1175</v>
      </c>
      <c r="D57" s="2527"/>
      <c r="E57" s="2269"/>
      <c r="F57" s="2448"/>
      <c r="G57" s="2492"/>
      <c r="H57" s="1565"/>
      <c r="I57" s="716" t="s">
        <v>1176</v>
      </c>
      <c r="J57" s="636"/>
      <c r="K57" s="1565"/>
      <c r="L57" s="279"/>
      <c r="M57" s="2235"/>
      <c r="N57" s="399"/>
      <c r="O57" s="1689"/>
      <c r="P57" s="1689"/>
      <c r="AH57" s="1696">
        <v>0</v>
      </c>
    </row>
    <row s="4921" customFormat="1" customHeight="1" ht="0.75" hidden="1">
      <c r="A58" s="1845"/>
      <c r="B58" s="1845"/>
      <c r="C58" s="434" t="s">
        <v>1181</v>
      </c>
      <c r="D58" s="2527"/>
      <c r="E58" s="2269"/>
      <c r="F58" s="2448"/>
      <c r="G58" s="465"/>
      <c r="H58" s="1565"/>
      <c r="I58" s="716"/>
      <c r="J58" s="636"/>
      <c r="K58" s="1565"/>
      <c r="L58" s="279"/>
      <c r="M58" s="2235"/>
      <c r="N58" s="399"/>
      <c r="O58" s="1689"/>
      <c r="P58" s="1689"/>
      <c r="AH58" s="1696">
        <v>0</v>
      </c>
    </row>
    <row s="4921" customFormat="1" customHeight="1" ht="18.75" hidden="1">
      <c r="A59" s="1845" t="s">
        <v>254</v>
      </c>
      <c r="B59" s="1845" t="s">
        <v>255</v>
      </c>
      <c r="C59" s="434"/>
      <c r="D59" s="2527"/>
      <c r="E59" s="2269"/>
      <c r="F59" s="2448" t="str">
        <f>INDEX(PT_DIFFERENTIATION_VTAR,MATCH(A59,PT_DIFFERENTIATION_VTAR_ID,0))</f>
        <v>Тариф на транспортировку воды</v>
      </c>
      <c r="G59" s="2492" t="str">
        <f>INDEX(PT_DIFFERENTIATION_NTAR,MATCH(B59,PT_DIFFERENTIATION_NTAR_ID,0))</f>
        <v/>
      </c>
      <c r="H59" s="1927"/>
      <c r="I59" s="1804"/>
      <c r="J59" s="1838"/>
      <c r="K59" s="1930"/>
      <c r="L59" s="1927" t="s">
        <v>325</v>
      </c>
      <c r="M59" s="2235"/>
      <c r="N59" s="399"/>
      <c r="O59" s="1689"/>
      <c r="P59" s="1689"/>
      <c r="AH59" s="1696">
        <v>0</v>
      </c>
    </row>
    <row s="4921" customFormat="1" customHeight="1" ht="18.75" hidden="1">
      <c r="A60" s="1845"/>
      <c r="B60" s="1845"/>
      <c r="C60" s="434" t="s">
        <v>1175</v>
      </c>
      <c r="D60" s="2527"/>
      <c r="E60" s="2269"/>
      <c r="F60" s="2448"/>
      <c r="G60" s="2492"/>
      <c r="H60" s="1565"/>
      <c r="I60" s="716" t="s">
        <v>1176</v>
      </c>
      <c r="J60" s="636"/>
      <c r="K60" s="1565"/>
      <c r="L60" s="279"/>
      <c r="M60" s="2235"/>
      <c r="N60" s="399"/>
      <c r="O60" s="1689"/>
      <c r="P60" s="1689"/>
      <c r="AH60" s="1696">
        <v>0</v>
      </c>
    </row>
    <row s="4921" customFormat="1" customHeight="1" ht="0.75" hidden="1">
      <c r="A61" s="1845"/>
      <c r="B61" s="1845"/>
      <c r="C61" s="434" t="s">
        <v>1181</v>
      </c>
      <c r="D61" s="2527"/>
      <c r="E61" s="2269"/>
      <c r="F61" s="2448"/>
      <c r="G61" s="465"/>
      <c r="H61" s="1565"/>
      <c r="I61" s="716"/>
      <c r="J61" s="636"/>
      <c r="K61" s="1565"/>
      <c r="L61" s="279"/>
      <c r="M61" s="2235"/>
      <c r="N61" s="399"/>
      <c r="O61" s="1689"/>
      <c r="P61" s="1689"/>
      <c r="AH61" s="1696">
        <v>0</v>
      </c>
    </row>
    <row s="4921" customFormat="1" customHeight="1" ht="18.75" hidden="1">
      <c r="A62" s="1845" t="s">
        <v>259</v>
      </c>
      <c r="B62" s="1845" t="s">
        <v>260</v>
      </c>
      <c r="C62" s="434"/>
      <c r="D62" s="2527"/>
      <c r="E62" s="2269"/>
      <c r="F62" s="2448" t="str">
        <f>INDEX(PT_DIFFERENTIATION_VTAR,MATCH(A62,PT_DIFFERENTIATION_VTAR_ID,0))</f>
        <v>Тариф на подвоз воды</v>
      </c>
      <c r="G62" s="2492" t="str">
        <f>INDEX(PT_DIFFERENTIATION_NTAR,MATCH(B62,PT_DIFFERENTIATION_NTAR_ID,0))</f>
        <v/>
      </c>
      <c r="H62" s="1927"/>
      <c r="I62" s="1804"/>
      <c r="J62" s="1838"/>
      <c r="K62" s="1930"/>
      <c r="L62" s="1927" t="s">
        <v>325</v>
      </c>
      <c r="M62" s="2235"/>
      <c r="N62" s="399"/>
      <c r="O62" s="1689"/>
      <c r="P62" s="1689"/>
      <c r="AH62" s="1696">
        <v>0</v>
      </c>
    </row>
    <row s="4921" customFormat="1" customHeight="1" ht="18.75" hidden="1">
      <c r="A63" s="1845"/>
      <c r="B63" s="1845"/>
      <c r="C63" s="434" t="s">
        <v>1175</v>
      </c>
      <c r="D63" s="2527"/>
      <c r="E63" s="2269"/>
      <c r="F63" s="2448"/>
      <c r="G63" s="2492"/>
      <c r="H63" s="1565"/>
      <c r="I63" s="716" t="s">
        <v>1176</v>
      </c>
      <c r="J63" s="636"/>
      <c r="K63" s="1565"/>
      <c r="L63" s="279"/>
      <c r="M63" s="2235"/>
      <c r="N63" s="399"/>
      <c r="O63" s="1689"/>
      <c r="P63" s="1689"/>
      <c r="AH63" s="1696">
        <v>0</v>
      </c>
    </row>
    <row s="4921" customFormat="1" customHeight="1" ht="0.75" hidden="1">
      <c r="A64" s="1845"/>
      <c r="B64" s="1845"/>
      <c r="C64" s="434" t="s">
        <v>1181</v>
      </c>
      <c r="D64" s="2527"/>
      <c r="E64" s="2269"/>
      <c r="F64" s="2448"/>
      <c r="G64" s="465"/>
      <c r="H64" s="1565"/>
      <c r="I64" s="716"/>
      <c r="J64" s="636"/>
      <c r="K64" s="1565"/>
      <c r="L64" s="279"/>
      <c r="M64" s="2235"/>
      <c r="N64" s="399"/>
      <c r="O64" s="1689"/>
      <c r="P64" s="1689"/>
      <c r="AH64" s="1696">
        <v>0</v>
      </c>
    </row>
    <row s="4921" customFormat="1" customHeight="1" ht="18.75" hidden="1">
      <c r="A65" s="1845" t="s">
        <v>264</v>
      </c>
      <c r="B65" s="1845" t="s">
        <v>265</v>
      </c>
      <c r="C65" s="434"/>
      <c r="D65" s="2527"/>
      <c r="E65" s="2269"/>
      <c r="F65" s="2448"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92" t="str">
        <f>INDEX(PT_DIFFERENTIATION_NTAR,MATCH(B65,PT_DIFFERENTIATION_NTAR_ID,0))</f>
        <v/>
      </c>
      <c r="H65" s="1927"/>
      <c r="I65" s="1804"/>
      <c r="J65" s="1838"/>
      <c r="K65" s="1930"/>
      <c r="L65" s="1927" t="s">
        <v>325</v>
      </c>
      <c r="M65" s="2235"/>
      <c r="N65" s="399"/>
      <c r="O65" s="1689"/>
      <c r="P65" s="1689"/>
      <c r="AH65" s="1696">
        <v>0</v>
      </c>
    </row>
    <row s="4921" customFormat="1" customHeight="1" ht="18.75" hidden="1">
      <c r="A66" s="1845"/>
      <c r="B66" s="1845"/>
      <c r="C66" s="434" t="s">
        <v>1175</v>
      </c>
      <c r="D66" s="2527"/>
      <c r="E66" s="2269"/>
      <c r="F66" s="2448"/>
      <c r="G66" s="2492"/>
      <c r="H66" s="1565"/>
      <c r="I66" s="716" t="s">
        <v>1176</v>
      </c>
      <c r="J66" s="636"/>
      <c r="K66" s="1565"/>
      <c r="L66" s="279"/>
      <c r="M66" s="2235"/>
      <c r="N66" s="399"/>
      <c r="O66" s="1689"/>
      <c r="P66" s="1689"/>
      <c r="AH66" s="1696">
        <v>0</v>
      </c>
    </row>
    <row s="4921" customFormat="1" customHeight="1" ht="0.75" hidden="1">
      <c r="A67" s="1845"/>
      <c r="B67" s="1845"/>
      <c r="C67" s="434" t="s">
        <v>1181</v>
      </c>
      <c r="D67" s="2527"/>
      <c r="E67" s="2269"/>
      <c r="F67" s="2448"/>
      <c r="G67" s="465"/>
      <c r="H67" s="1565"/>
      <c r="I67" s="716"/>
      <c r="J67" s="636"/>
      <c r="K67" s="1565"/>
      <c r="L67" s="279"/>
      <c r="M67" s="2235"/>
      <c r="N67" s="399"/>
      <c r="O67" s="1689"/>
      <c r="P67" s="1689"/>
      <c r="AH67" s="1696">
        <v>0</v>
      </c>
    </row>
    <row s="4921" customFormat="1" customHeight="1" ht="18.75" hidden="1">
      <c r="A68" s="1845" t="s">
        <v>269</v>
      </c>
      <c r="B68" s="1845" t="s">
        <v>270</v>
      </c>
      <c r="C68" s="434"/>
      <c r="D68" s="2527"/>
      <c r="E68" s="2269"/>
      <c r="F68" s="2448" t="str">
        <f>INDEX(PT_DIFFERENTIATION_VTAR,MATCH(A68,PT_DIFFERENTIATION_VTAR_ID,0))</f>
        <v>Тариф на горячую воду (горячее водоснабжение)</v>
      </c>
      <c r="G68" s="2492" t="str">
        <f>INDEX(PT_DIFFERENTIATION_NTAR,MATCH(B68,PT_DIFFERENTIATION_NTAR_ID,0))</f>
        <v/>
      </c>
      <c r="H68" s="1927"/>
      <c r="I68" s="1804"/>
      <c r="J68" s="1838"/>
      <c r="K68" s="1930"/>
      <c r="L68" s="1927" t="s">
        <v>325</v>
      </c>
      <c r="M68" s="2235"/>
      <c r="N68" s="399"/>
      <c r="O68" s="1689"/>
      <c r="P68" s="1689"/>
      <c r="AH68" s="1696">
        <v>0</v>
      </c>
    </row>
    <row s="4921" customFormat="1" customHeight="1" ht="18.75" hidden="1">
      <c r="A69" s="1845"/>
      <c r="B69" s="1845"/>
      <c r="C69" s="434" t="s">
        <v>1175</v>
      </c>
      <c r="D69" s="2527"/>
      <c r="E69" s="2269"/>
      <c r="F69" s="2448"/>
      <c r="G69" s="2492"/>
      <c r="H69" s="1565"/>
      <c r="I69" s="716" t="s">
        <v>1176</v>
      </c>
      <c r="J69" s="636"/>
      <c r="K69" s="1565"/>
      <c r="L69" s="279"/>
      <c r="M69" s="2235"/>
      <c r="N69" s="399"/>
      <c r="O69" s="1689"/>
      <c r="P69" s="1689"/>
      <c r="AH69" s="1696">
        <v>0</v>
      </c>
    </row>
    <row s="4921" customFormat="1" customHeight="1" ht="0.75" hidden="1">
      <c r="A70" s="1845"/>
      <c r="B70" s="1845"/>
      <c r="C70" s="434" t="s">
        <v>1181</v>
      </c>
      <c r="D70" s="2527"/>
      <c r="E70" s="2269"/>
      <c r="F70" s="2448"/>
      <c r="G70" s="465"/>
      <c r="H70" s="1565"/>
      <c r="I70" s="716"/>
      <c r="J70" s="636"/>
      <c r="K70" s="1565"/>
      <c r="L70" s="279"/>
      <c r="M70" s="2235"/>
      <c r="N70" s="399"/>
      <c r="O70" s="1689"/>
      <c r="P70" s="1689"/>
      <c r="AH70" s="1696">
        <v>0</v>
      </c>
    </row>
    <row s="4921" customFormat="1" customHeight="1" ht="18.75" hidden="1">
      <c r="A71" s="1845" t="s">
        <v>274</v>
      </c>
      <c r="B71" s="1845" t="s">
        <v>275</v>
      </c>
      <c r="C71" s="434"/>
      <c r="D71" s="2527"/>
      <c r="E71" s="2269"/>
      <c r="F71" s="2448" t="str">
        <f>INDEX(PT_DIFFERENTIATION_VTAR,MATCH(A71,PT_DIFFERENTIATION_VTAR_ID,0))</f>
        <v>Тариф на транспортировку горячей воды</v>
      </c>
      <c r="G71" s="2492" t="str">
        <f>INDEX(PT_DIFFERENTIATION_NTAR,MATCH(B71,PT_DIFFERENTIATION_NTAR_ID,0))</f>
        <v/>
      </c>
      <c r="H71" s="1927"/>
      <c r="I71" s="1804"/>
      <c r="J71" s="1838"/>
      <c r="K71" s="1930"/>
      <c r="L71" s="1927" t="s">
        <v>325</v>
      </c>
      <c r="M71" s="2235"/>
      <c r="N71" s="399"/>
      <c r="O71" s="1689"/>
      <c r="P71" s="1689"/>
      <c r="AH71" s="1696">
        <v>0</v>
      </c>
    </row>
    <row s="4921" customFormat="1" customHeight="1" ht="18.75" hidden="1">
      <c r="A72" s="1845"/>
      <c r="B72" s="1845"/>
      <c r="C72" s="434" t="s">
        <v>1175</v>
      </c>
      <c r="D72" s="2527"/>
      <c r="E72" s="2269"/>
      <c r="F72" s="2448"/>
      <c r="G72" s="2492"/>
      <c r="H72" s="1565"/>
      <c r="I72" s="716" t="s">
        <v>1176</v>
      </c>
      <c r="J72" s="636"/>
      <c r="K72" s="1565"/>
      <c r="L72" s="279"/>
      <c r="M72" s="2235"/>
      <c r="N72" s="399"/>
      <c r="O72" s="1689"/>
      <c r="P72" s="1689"/>
      <c r="AH72" s="1696">
        <v>0</v>
      </c>
    </row>
    <row s="4921" customFormat="1" customHeight="1" ht="0.75" hidden="1">
      <c r="A73" s="1845"/>
      <c r="B73" s="1845"/>
      <c r="C73" s="434" t="s">
        <v>1181</v>
      </c>
      <c r="D73" s="2527"/>
      <c r="E73" s="2269"/>
      <c r="F73" s="2448"/>
      <c r="G73" s="465"/>
      <c r="H73" s="1565"/>
      <c r="I73" s="716"/>
      <c r="J73" s="636"/>
      <c r="K73" s="1565"/>
      <c r="L73" s="279"/>
      <c r="M73" s="2235"/>
      <c r="N73" s="399"/>
      <c r="O73" s="1689"/>
      <c r="P73" s="1689"/>
      <c r="AH73" s="1696">
        <v>0</v>
      </c>
    </row>
    <row s="4921" customFormat="1" customHeight="1" ht="18.75" hidden="1">
      <c r="A74" s="1845" t="s">
        <v>279</v>
      </c>
      <c r="B74" s="1845" t="s">
        <v>280</v>
      </c>
      <c r="C74" s="434"/>
      <c r="D74" s="2527"/>
      <c r="E74" s="2269"/>
      <c r="F74" s="2448" t="str">
        <f>INDEX(PT_DIFFERENTIATION_VTAR,MATCH(A74,PT_DIFFERENTIATION_VTAR_ID,0))</f>
        <v>Тариф на подключение (технологическое присоединение) к централизованной системе горячего водоснабжения</v>
      </c>
      <c r="G74" s="2492" t="str">
        <f>INDEX(PT_DIFFERENTIATION_NTAR,MATCH(B74,PT_DIFFERENTIATION_NTAR_ID,0))</f>
        <v/>
      </c>
      <c r="H74" s="1927"/>
      <c r="I74" s="1804"/>
      <c r="J74" s="1838"/>
      <c r="K74" s="1930"/>
      <c r="L74" s="1927" t="s">
        <v>325</v>
      </c>
      <c r="M74" s="2235"/>
      <c r="N74" s="399"/>
      <c r="O74" s="1689"/>
      <c r="P74" s="1689"/>
      <c r="AH74" s="1696">
        <v>0</v>
      </c>
    </row>
    <row s="4921" customFormat="1" customHeight="1" ht="18.75" hidden="1">
      <c r="A75" s="1845"/>
      <c r="B75" s="1845"/>
      <c r="C75" s="434" t="s">
        <v>1175</v>
      </c>
      <c r="D75" s="2527"/>
      <c r="E75" s="2269"/>
      <c r="F75" s="2448"/>
      <c r="G75" s="2492"/>
      <c r="H75" s="1565"/>
      <c r="I75" s="716" t="s">
        <v>1176</v>
      </c>
      <c r="J75" s="636"/>
      <c r="K75" s="1565"/>
      <c r="L75" s="279"/>
      <c r="M75" s="2235"/>
      <c r="N75" s="399"/>
      <c r="O75" s="1689"/>
      <c r="P75" s="1689"/>
      <c r="AH75" s="1696">
        <v>0</v>
      </c>
    </row>
    <row s="4921" customFormat="1" customHeight="1" ht="0.75" hidden="1">
      <c r="A76" s="1845"/>
      <c r="B76" s="1845"/>
      <c r="C76" s="434" t="s">
        <v>1181</v>
      </c>
      <c r="D76" s="2527"/>
      <c r="E76" s="2269"/>
      <c r="F76" s="2448"/>
      <c r="G76" s="465"/>
      <c r="H76" s="1565"/>
      <c r="I76" s="716"/>
      <c r="J76" s="636"/>
      <c r="K76" s="1565"/>
      <c r="L76" s="279"/>
      <c r="M76" s="2235"/>
      <c r="N76" s="399"/>
      <c r="O76" s="1689"/>
      <c r="P76" s="1689"/>
      <c r="AH76" s="1696">
        <v>0</v>
      </c>
    </row>
    <row s="4921" customFormat="1" customHeight="1" ht="18.75" hidden="1">
      <c r="A77" s="1845" t="s">
        <v>284</v>
      </c>
      <c r="B77" s="1845" t="s">
        <v>285</v>
      </c>
      <c r="C77" s="434"/>
      <c r="D77" s="2527"/>
      <c r="E77" s="2269"/>
      <c r="F77" s="2448" t="str">
        <f>INDEX(PT_DIFFERENTIATION_VTAR,MATCH(A77,PT_DIFFERENTIATION_VTAR_ID,0))</f>
        <v>Тариф на водоотведение</v>
      </c>
      <c r="G77" s="2492" t="str">
        <f>INDEX(PT_DIFFERENTIATION_NTAR,MATCH(B77,PT_DIFFERENTIATION_NTAR_ID,0))</f>
        <v/>
      </c>
      <c r="H77" s="1927"/>
      <c r="I77" s="1804"/>
      <c r="J77" s="1838"/>
      <c r="K77" s="1930"/>
      <c r="L77" s="1927" t="s">
        <v>325</v>
      </c>
      <c r="M77" s="2235"/>
      <c r="N77" s="399"/>
      <c r="O77" s="1689"/>
      <c r="P77" s="1689"/>
      <c r="AH77" s="1696">
        <v>0</v>
      </c>
    </row>
    <row s="4921" customFormat="1" customHeight="1" ht="18.75" hidden="1">
      <c r="A78" s="1845"/>
      <c r="B78" s="1845"/>
      <c r="C78" s="434" t="s">
        <v>1175</v>
      </c>
      <c r="D78" s="2527"/>
      <c r="E78" s="2269"/>
      <c r="F78" s="2448"/>
      <c r="G78" s="2492"/>
      <c r="H78" s="1565"/>
      <c r="I78" s="716" t="s">
        <v>1176</v>
      </c>
      <c r="J78" s="636"/>
      <c r="K78" s="1565"/>
      <c r="L78" s="279"/>
      <c r="M78" s="2235"/>
      <c r="N78" s="399"/>
      <c r="O78" s="1689"/>
      <c r="P78" s="1689"/>
      <c r="AH78" s="1696">
        <v>0</v>
      </c>
    </row>
    <row s="4921" customFormat="1" customHeight="1" ht="0.75" hidden="1">
      <c r="A79" s="1845"/>
      <c r="B79" s="1845"/>
      <c r="C79" s="434" t="s">
        <v>1181</v>
      </c>
      <c r="D79" s="2527"/>
      <c r="E79" s="2269"/>
      <c r="F79" s="2448"/>
      <c r="G79" s="465"/>
      <c r="H79" s="1565"/>
      <c r="I79" s="716"/>
      <c r="J79" s="636"/>
      <c r="K79" s="1565"/>
      <c r="L79" s="279"/>
      <c r="M79" s="2235"/>
      <c r="N79" s="399"/>
      <c r="O79" s="1689"/>
      <c r="P79" s="1689"/>
      <c r="AH79" s="1696">
        <v>0</v>
      </c>
    </row>
    <row s="4921" customFormat="1" customHeight="1" ht="18.75" hidden="1">
      <c r="A80" s="1845" t="s">
        <v>289</v>
      </c>
      <c r="B80" s="1845" t="s">
        <v>290</v>
      </c>
      <c r="C80" s="434"/>
      <c r="D80" s="2527"/>
      <c r="E80" s="2269"/>
      <c r="F80" s="2448" t="str">
        <f>INDEX(PT_DIFFERENTIATION_VTAR,MATCH(A80,PT_DIFFERENTIATION_VTAR_ID,0))</f>
        <v>Тариф на транспортировку сточных вод</v>
      </c>
      <c r="G80" s="2492" t="str">
        <f>INDEX(PT_DIFFERENTIATION_NTAR,MATCH(B80,PT_DIFFERENTIATION_NTAR_ID,0))</f>
        <v/>
      </c>
      <c r="H80" s="1927"/>
      <c r="I80" s="1804"/>
      <c r="J80" s="1838"/>
      <c r="K80" s="1930"/>
      <c r="L80" s="1927" t="s">
        <v>325</v>
      </c>
      <c r="M80" s="2235"/>
      <c r="N80" s="399"/>
      <c r="O80" s="1689"/>
      <c r="P80" s="1689"/>
      <c r="AH80" s="1696">
        <v>0</v>
      </c>
    </row>
    <row s="4921" customFormat="1" customHeight="1" ht="18.75" hidden="1">
      <c r="A81" s="1845"/>
      <c r="B81" s="1845"/>
      <c r="C81" s="434" t="s">
        <v>1175</v>
      </c>
      <c r="D81" s="2527"/>
      <c r="E81" s="2269"/>
      <c r="F81" s="2448"/>
      <c r="G81" s="2492"/>
      <c r="H81" s="1565"/>
      <c r="I81" s="716" t="s">
        <v>1176</v>
      </c>
      <c r="J81" s="636"/>
      <c r="K81" s="1565"/>
      <c r="L81" s="279"/>
      <c r="M81" s="2235"/>
      <c r="N81" s="399"/>
      <c r="O81" s="1689"/>
      <c r="P81" s="1689"/>
      <c r="AH81" s="1696">
        <v>0</v>
      </c>
    </row>
    <row s="4921" customFormat="1" customHeight="1" ht="0.75" hidden="1">
      <c r="A82" s="1845"/>
      <c r="B82" s="1845"/>
      <c r="C82" s="434" t="s">
        <v>1181</v>
      </c>
      <c r="D82" s="2527"/>
      <c r="E82" s="2269"/>
      <c r="F82" s="2448"/>
      <c r="G82" s="465"/>
      <c r="H82" s="1565"/>
      <c r="I82" s="716"/>
      <c r="J82" s="636"/>
      <c r="K82" s="1565"/>
      <c r="L82" s="279"/>
      <c r="M82" s="2235"/>
      <c r="N82" s="399"/>
      <c r="O82" s="1689"/>
      <c r="P82" s="1689"/>
      <c r="AH82" s="1696">
        <v>0</v>
      </c>
    </row>
    <row s="4921" customFormat="1" customHeight="1" ht="18.75" hidden="1">
      <c r="A83" s="1845" t="s">
        <v>294</v>
      </c>
      <c r="B83" s="1845" t="s">
        <v>295</v>
      </c>
      <c r="C83" s="434"/>
      <c r="D83" s="2527"/>
      <c r="E83" s="2269"/>
      <c r="F83" s="2448" t="str">
        <f>INDEX(PT_DIFFERENTIATION_VTAR,MATCH(A83,PT_DIFFERENTIATION_VTAR_ID,0))</f>
        <v>Тариф на подключение (технологическое присоединение) к централизованной системе водоотведения</v>
      </c>
      <c r="G83" s="2492" t="str">
        <f>INDEX(PT_DIFFERENTIATION_NTAR,MATCH(B83,PT_DIFFERENTIATION_NTAR_ID,0))</f>
        <v/>
      </c>
      <c r="H83" s="1927"/>
      <c r="I83" s="1804"/>
      <c r="J83" s="1838"/>
      <c r="K83" s="1930"/>
      <c r="L83" s="1927" t="s">
        <v>325</v>
      </c>
      <c r="M83" s="2235"/>
      <c r="N83" s="399"/>
      <c r="O83" s="1689"/>
      <c r="P83" s="1689"/>
      <c r="AH83" s="1696">
        <v>0</v>
      </c>
    </row>
    <row s="4921" customFormat="1" customHeight="1" ht="18.75" hidden="1">
      <c r="A84" s="1845"/>
      <c r="B84" s="1845"/>
      <c r="C84" s="434" t="s">
        <v>1175</v>
      </c>
      <c r="D84" s="2527"/>
      <c r="E84" s="2269"/>
      <c r="F84" s="2448"/>
      <c r="G84" s="2492"/>
      <c r="H84" s="1565"/>
      <c r="I84" s="716" t="s">
        <v>1176</v>
      </c>
      <c r="J84" s="636"/>
      <c r="K84" s="1565"/>
      <c r="L84" s="279"/>
      <c r="M84" s="2235"/>
      <c r="N84" s="399"/>
      <c r="O84" s="1689"/>
      <c r="P84" s="1689"/>
      <c r="AH84" s="1696">
        <v>0</v>
      </c>
    </row>
    <row s="4921" customFormat="1" customHeight="1" ht="1.05">
      <c r="A85" s="1845"/>
      <c r="B85" s="1845"/>
      <c r="C85" s="434" t="s">
        <v>1181</v>
      </c>
      <c r="D85" s="2527"/>
      <c r="E85" s="2269"/>
      <c r="F85" s="2448"/>
      <c r="G85" s="465"/>
      <c r="H85" s="1565"/>
      <c r="I85" s="716"/>
      <c r="J85" s="636"/>
      <c r="K85" s="1565"/>
      <c r="L85" s="279"/>
      <c r="M85" s="2235"/>
      <c r="N85" s="399"/>
      <c r="O85" s="1689"/>
      <c r="P85" s="1689"/>
      <c r="AH85" s="1696">
        <v>1</v>
      </c>
    </row>
    <row customHeight="1" ht="19.95">
      <c r="A86" s="1845"/>
      <c r="B86" s="1845"/>
      <c r="D86" s="441"/>
      <c r="E86" s="212" t="s">
        <v>113</v>
      </c>
      <c r="F86"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25"/>
      <c r="H86" s="2525"/>
      <c r="I86" s="2525"/>
      <c r="J86" s="2525"/>
      <c r="K86" s="2525"/>
      <c r="L86" s="2525"/>
      <c r="M86" s="362"/>
      <c r="N86" s="399"/>
      <c r="AH86" s="439">
        <v>19</v>
      </c>
    </row>
    <row customHeight="1" ht="35.699999999999996">
      <c r="A87" s="1845"/>
      <c r="B87" s="1845"/>
      <c r="D87" s="441"/>
      <c r="E87" s="464"/>
      <c r="F87" s="263" t="s">
        <v>325</v>
      </c>
      <c r="G87" s="263" t="s">
        <v>325</v>
      </c>
      <c r="H87" s="2283" t="s">
        <v>325</v>
      </c>
      <c r="I87" s="2285"/>
      <c r="J87" s="263" t="s">
        <v>325</v>
      </c>
      <c r="K87" s="263" t="s">
        <v>325</v>
      </c>
      <c r="L87" s="466"/>
      <c r="M87" s="410" t="s">
        <v>1182</v>
      </c>
      <c r="N87" s="399"/>
      <c r="AH87" s="439">
        <v>34</v>
      </c>
    </row>
    <row customHeight="1" ht="19.95">
      <c r="A88" s="1845"/>
      <c r="B88" s="1845"/>
      <c r="D88" s="441"/>
      <c r="E88" s="212" t="s">
        <v>93</v>
      </c>
      <c r="F88" s="2525" t="s">
        <v>1183</v>
      </c>
      <c r="G88" s="2525"/>
      <c r="H88" s="2525"/>
      <c r="I88" s="2525"/>
      <c r="J88" s="2525"/>
      <c r="K88" s="2525"/>
      <c r="L88" s="2525"/>
      <c r="M88" s="362"/>
      <c r="N88" s="399"/>
      <c r="AH88" s="439">
        <v>19</v>
      </c>
    </row>
    <row s="4921" customFormat="1" customHeight="1" ht="60.75" hidden="1">
      <c r="A89" s="1845" t="s">
        <v>160</v>
      </c>
      <c r="B89" s="1845" t="s">
        <v>161</v>
      </c>
      <c r="C89" s="434"/>
      <c r="D89" s="2527"/>
      <c r="E89" s="2269"/>
      <c r="F89" s="2448"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92" t="str">
        <f>INDEX(PT_DIFFERENTIATION_NTAR,MATCH(B89,PT_DIFFERENTIATION_NTAR_ID,0))</f>
        <v>Тариф на коллекторах источника тепловой энергии</v>
      </c>
      <c r="H89" s="1927"/>
      <c r="I89" s="1804"/>
      <c r="J89" s="1838"/>
      <c r="K89" s="1843"/>
      <c r="L89" s="1927" t="s">
        <v>325</v>
      </c>
      <c r="M8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9"/>
      <c r="O89" s="1689"/>
      <c r="P89" s="1689"/>
      <c r="AH89" s="1696">
        <v>0</v>
      </c>
    </row>
    <row s="4921" customFormat="1" customHeight="1" ht="18.75" hidden="1">
      <c r="A90" s="1845"/>
      <c r="B90" s="1845"/>
      <c r="C90" s="434" t="s">
        <v>1177</v>
      </c>
      <c r="D90" s="2527"/>
      <c r="E90" s="2269"/>
      <c r="F90" s="2448"/>
      <c r="G90" s="2492"/>
      <c r="H90" s="1565"/>
      <c r="I90" s="716" t="s">
        <v>1176</v>
      </c>
      <c r="J90" s="636"/>
      <c r="K90" s="1565"/>
      <c r="L90" s="279"/>
      <c r="M90" s="2235"/>
      <c r="N90" s="399"/>
      <c r="O90" s="1689"/>
      <c r="P90" s="1689"/>
      <c r="AH90" s="1696">
        <v>0</v>
      </c>
    </row>
    <row s="4921" customFormat="1" customHeight="1" ht="0.75" hidden="1">
      <c r="A91" s="1845"/>
      <c r="B91" s="1845"/>
      <c r="C91" s="434" t="s">
        <v>1184</v>
      </c>
      <c r="D91" s="2527"/>
      <c r="E91" s="2269"/>
      <c r="F91" s="2448"/>
      <c r="G91" s="465"/>
      <c r="H91" s="1565"/>
      <c r="I91" s="716"/>
      <c r="J91" s="636"/>
      <c r="K91" s="1565"/>
      <c r="L91" s="279"/>
      <c r="M91" s="2235"/>
      <c r="N91" s="399"/>
      <c r="O91" s="1689"/>
      <c r="P91" s="1689"/>
      <c r="AH91" s="1696">
        <v>0</v>
      </c>
    </row>
    <row s="4921" customFormat="1" customHeight="1" ht="45" hidden="1">
      <c r="A92" s="1845" t="s">
        <v>172</v>
      </c>
      <c r="B92" s="1845" t="s">
        <v>173</v>
      </c>
      <c r="C92" s="434"/>
      <c r="D92" s="2527"/>
      <c r="E92" s="2269"/>
      <c r="F92" s="2448"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92" t="str">
        <f>INDEX(PT_DIFFERENTIATION_NTAR,MATCH(B92,PT_DIFFERENTIATION_NTAR_ID,0))</f>
        <v>Тариф для потребителей, подключенных к тепловым сетям
</v>
      </c>
      <c r="H92" s="1927"/>
      <c r="I92" s="1804"/>
      <c r="J92" s="1838"/>
      <c r="K92" s="1843"/>
      <c r="L92" s="1927" t="s">
        <v>325</v>
      </c>
      <c r="M92" s="2236"/>
      <c r="N92" s="399"/>
      <c r="O92" s="1689"/>
      <c r="P92" s="1689"/>
      <c r="AH92" s="1696">
        <v>0</v>
      </c>
    </row>
    <row s="4921" customFormat="1" customHeight="1" ht="18.75" hidden="1">
      <c r="A93" s="1845"/>
      <c r="B93" s="1845"/>
      <c r="C93" s="434" t="s">
        <v>1177</v>
      </c>
      <c r="D93" s="2527"/>
      <c r="E93" s="2269"/>
      <c r="F93" s="2448"/>
      <c r="G93" s="2492"/>
      <c r="H93" s="1565"/>
      <c r="I93" s="716" t="s">
        <v>1176</v>
      </c>
      <c r="J93" s="636"/>
      <c r="K93" s="1565"/>
      <c r="L93" s="279"/>
      <c r="M93" s="1926"/>
      <c r="N93" s="399"/>
      <c r="O93" s="1689"/>
      <c r="P93" s="1689"/>
      <c r="AH93" s="1696">
        <v>0</v>
      </c>
    </row>
    <row s="4921" customFormat="1" customHeight="1" ht="0.75" hidden="1">
      <c r="A94" s="1845"/>
      <c r="B94" s="1845"/>
      <c r="C94" s="434" t="s">
        <v>1184</v>
      </c>
      <c r="D94" s="2527"/>
      <c r="E94" s="2269"/>
      <c r="F94" s="2448"/>
      <c r="G94" s="465"/>
      <c r="H94" s="1565"/>
      <c r="I94" s="716"/>
      <c r="J94" s="636"/>
      <c r="K94" s="1565"/>
      <c r="L94" s="279"/>
      <c r="M94" s="406"/>
      <c r="N94" s="399"/>
      <c r="O94" s="1689"/>
      <c r="P94" s="1689"/>
      <c r="AH94" s="1696">
        <v>0</v>
      </c>
    </row>
    <row s="4921" customFormat="1" customHeight="1" ht="45" hidden="1">
      <c r="A95" s="1845" t="s">
        <v>180</v>
      </c>
      <c r="B95" s="1845" t="s">
        <v>181</v>
      </c>
      <c r="C95" s="434"/>
      <c r="D95" s="2527"/>
      <c r="E95" s="2269"/>
      <c r="F95" s="2448"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2" t="str">
        <f>INDEX(PT_DIFFERENTIATION_NTAR,MATCH(B95,PT_DIFFERENTIATION_NTAR_ID,0))</f>
        <v>Тариф на теплоноситель, поставляемый потребителям
</v>
      </c>
      <c r="H95" s="1927"/>
      <c r="I95" s="1804"/>
      <c r="J95" s="1838"/>
      <c r="K95" s="1843"/>
      <c r="L95" s="1927" t="s">
        <v>325</v>
      </c>
      <c r="M95" s="406"/>
      <c r="N95" s="399"/>
      <c r="O95" s="1689"/>
      <c r="P95" s="1689"/>
      <c r="AH95" s="1696">
        <v>0</v>
      </c>
    </row>
    <row s="4921" customFormat="1" customHeight="1" ht="18.75" hidden="1">
      <c r="A96" s="1845"/>
      <c r="B96" s="1845"/>
      <c r="C96" s="434" t="s">
        <v>1177</v>
      </c>
      <c r="D96" s="2527"/>
      <c r="E96" s="2269"/>
      <c r="F96" s="2448"/>
      <c r="G96" s="2492"/>
      <c r="H96" s="1565"/>
      <c r="I96" s="716" t="s">
        <v>1176</v>
      </c>
      <c r="J96" s="636"/>
      <c r="K96" s="1565"/>
      <c r="L96" s="279"/>
      <c r="M96" s="406"/>
      <c r="N96" s="399"/>
      <c r="O96" s="1689"/>
      <c r="P96" s="1689"/>
      <c r="AH96" s="1696">
        <v>0</v>
      </c>
    </row>
    <row s="4921" customFormat="1" customHeight="1" ht="0.75" hidden="1">
      <c r="A97" s="1845"/>
      <c r="B97" s="1845"/>
      <c r="C97" s="434" t="s">
        <v>1184</v>
      </c>
      <c r="D97" s="2527"/>
      <c r="E97" s="2269"/>
      <c r="F97" s="2448"/>
      <c r="G97" s="465"/>
      <c r="H97" s="1565"/>
      <c r="I97" s="716"/>
      <c r="J97" s="636"/>
      <c r="K97" s="1565"/>
      <c r="L97" s="279"/>
      <c r="M97" s="406"/>
      <c r="N97" s="399"/>
      <c r="O97" s="1689"/>
      <c r="P97" s="1689"/>
      <c r="AH97" s="1696">
        <v>0</v>
      </c>
    </row>
    <row s="4921" customFormat="1" customHeight="1" ht="45" hidden="1">
      <c r="A98" s="1845" t="s">
        <v>188</v>
      </c>
      <c r="B98" s="1845" t="s">
        <v>189</v>
      </c>
      <c r="C98" s="434"/>
      <c r="D98" s="2527"/>
      <c r="E98" s="2269"/>
      <c r="F98" s="2448"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2" t="str">
        <f>INDEX(PT_DIFFERENTIATION_NTAR,MATCH(B98,PT_DIFFERENTIATION_NTAR_ID,0))</f>
        <v>Тариф на горячую воду, поставляемую потребителям с коллекторов</v>
      </c>
      <c r="H98" s="1927"/>
      <c r="I98" s="1804"/>
      <c r="J98" s="1838"/>
      <c r="K98" s="1843"/>
      <c r="L98" s="1927" t="s">
        <v>325</v>
      </c>
      <c r="M98" s="406"/>
      <c r="N98" s="399"/>
      <c r="O98" s="1689"/>
      <c r="P98" s="1689"/>
      <c r="AH98" s="1696">
        <v>0</v>
      </c>
    </row>
    <row s="4921" customFormat="1" customHeight="1" ht="18.75" hidden="1">
      <c r="A99" s="1845"/>
      <c r="B99" s="1845"/>
      <c r="C99" s="434" t="s">
        <v>1177</v>
      </c>
      <c r="D99" s="2527"/>
      <c r="E99" s="2269"/>
      <c r="F99" s="2448"/>
      <c r="G99" s="2492"/>
      <c r="H99" s="1565"/>
      <c r="I99" s="716" t="s">
        <v>1176</v>
      </c>
      <c r="J99" s="636"/>
      <c r="K99" s="1565"/>
      <c r="L99" s="279"/>
      <c r="M99" s="406"/>
      <c r="N99" s="399"/>
      <c r="O99" s="1689"/>
      <c r="P99" s="1689"/>
      <c r="AH99" s="1696">
        <v>0</v>
      </c>
    </row>
    <row s="4921" customFormat="1" customHeight="1" ht="18.75">
      <c r="A100" s="3917" t="s">
        <v>188</v>
      </c>
      <c r="B100" s="3917" t="s">
        <v>195</v>
      </c>
      <c r="C100" s="4942"/>
      <c r="D100" s="4943"/>
      <c r="E100" s="4944"/>
      <c r="F100" s="4944"/>
      <c r="G100" s="4945" t="str">
        <f>INDEX(PT_DIFFERENTIATION_NTAR,MATCH(B100,PT_DIFFERENTIATION_NTAR_ID,0))</f>
        <v>Тариф на горячую воду, поставляемую потребителям из тепловых сетей​</v>
      </c>
      <c r="H100" s="4946"/>
      <c r="I100" s="4947"/>
      <c r="J100" s="4948"/>
      <c r="K100" s="4960"/>
      <c r="L100" s="4946" t="s">
        <v>325</v>
      </c>
      <c r="M100" s="4950"/>
      <c r="N100" s="4951"/>
      <c r="O100" s="3927"/>
      <c r="P100" s="3927"/>
      <c r="Q100" s="3928"/>
      <c r="R100" s="3928"/>
      <c r="S100" s="3928"/>
      <c r="T100" s="3928"/>
      <c r="U100" s="3928"/>
      <c r="V100" s="3928"/>
      <c r="W100" s="3928"/>
      <c r="X100" s="3928"/>
      <c r="Y100" s="3928"/>
      <c r="Z100" s="3928"/>
      <c r="AA100" s="3928"/>
      <c r="AB100" s="3928"/>
      <c r="AC100" s="3928"/>
      <c r="AD100" s="3928"/>
      <c r="AE100" s="3928"/>
      <c r="AF100" s="3928"/>
      <c r="AG100" s="3928"/>
      <c r="AH100" s="3928">
        <v>0</v>
      </c>
    </row>
    <row s="4921" customFormat="1" customHeight="1" ht="18.75">
      <c r="A101" s="3917"/>
      <c r="B101" s="3917"/>
      <c r="C101" s="4942" t="s">
        <v>1177</v>
      </c>
      <c r="D101" s="4943"/>
      <c r="E101" s="4944"/>
      <c r="F101" s="4944"/>
      <c r="G101" s="4945"/>
      <c r="H101" s="4961"/>
      <c r="I101" s="4962" t="s">
        <v>1176</v>
      </c>
      <c r="J101" s="4963"/>
      <c r="K101" s="4964"/>
      <c r="L101" s="4965"/>
      <c r="M101" s="4950"/>
      <c r="N101" s="4951"/>
      <c r="O101" s="3927"/>
      <c r="P101" s="3927"/>
      <c r="Q101" s="3928"/>
      <c r="R101" s="3928"/>
      <c r="S101" s="3928"/>
      <c r="T101" s="3928"/>
      <c r="U101" s="3928"/>
      <c r="V101" s="3928"/>
      <c r="W101" s="3928"/>
      <c r="X101" s="3928"/>
      <c r="Y101" s="3928"/>
      <c r="Z101" s="3928"/>
      <c r="AA101" s="3928"/>
      <c r="AB101" s="3928"/>
      <c r="AC101" s="3928"/>
      <c r="AD101" s="3928"/>
      <c r="AE101" s="3928"/>
      <c r="AF101" s="3928"/>
      <c r="AG101" s="3928"/>
      <c r="AH101" s="3928">
        <v>0</v>
      </c>
    </row>
    <row s="4921" customFormat="1" customHeight="1" ht="0.75" hidden="1">
      <c r="A102" s="1845"/>
      <c r="B102" s="1845"/>
      <c r="C102" s="434" t="s">
        <v>1184</v>
      </c>
      <c r="D102" s="2527"/>
      <c r="E102" s="2269"/>
      <c r="F102" s="2448"/>
      <c r="G102" s="465"/>
      <c r="H102" s="1565"/>
      <c r="I102" s="716"/>
      <c r="J102" s="636"/>
      <c r="K102" s="1565"/>
      <c r="L102" s="279"/>
      <c r="M102" s="406"/>
      <c r="N102" s="399"/>
      <c r="O102" s="1689"/>
      <c r="P102" s="1689"/>
      <c r="AH102" s="1696">
        <v>0</v>
      </c>
    </row>
    <row s="4921" customFormat="1" customHeight="1" ht="18.75" hidden="1">
      <c r="A103" s="1845" t="s">
        <v>200</v>
      </c>
      <c r="B103" s="1845" t="s">
        <v>201</v>
      </c>
      <c r="C103" s="434"/>
      <c r="D103" s="2527"/>
      <c r="E103" s="2269"/>
      <c r="F103" s="2448" t="str">
        <f>INDEX(PT_DIFFERENTIATION_VTAR,MATCH(A103,PT_DIFFERENTIATION_VTAR_ID,0))</f>
        <v>Тарифы на услуги по передаче тепловой энергии</v>
      </c>
      <c r="G103" s="2492" t="str">
        <f>INDEX(PT_DIFFERENTIATION_NTAR,MATCH(B103,PT_DIFFERENTIATION_NTAR_ID,0))</f>
        <v/>
      </c>
      <c r="H103" s="1927"/>
      <c r="I103" s="1804"/>
      <c r="J103" s="1838"/>
      <c r="K103" s="1843"/>
      <c r="L103" s="1927" t="s">
        <v>325</v>
      </c>
      <c r="M103" s="406"/>
      <c r="N103" s="399"/>
      <c r="O103" s="1689"/>
      <c r="P103" s="1689"/>
      <c r="AH103" s="1696">
        <v>0</v>
      </c>
    </row>
    <row s="4921" customFormat="1" customHeight="1" ht="18.75" hidden="1">
      <c r="A104" s="1845"/>
      <c r="B104" s="1845"/>
      <c r="C104" s="434" t="s">
        <v>1177</v>
      </c>
      <c r="D104" s="2527"/>
      <c r="E104" s="2269"/>
      <c r="F104" s="2448"/>
      <c r="G104" s="2492"/>
      <c r="H104" s="1565"/>
      <c r="I104" s="716" t="s">
        <v>1176</v>
      </c>
      <c r="J104" s="636"/>
      <c r="K104" s="1565"/>
      <c r="L104" s="279"/>
      <c r="M104" s="406"/>
      <c r="N104" s="399"/>
      <c r="O104" s="1689"/>
      <c r="P104" s="1689"/>
      <c r="AH104" s="1696">
        <v>0</v>
      </c>
    </row>
    <row s="4921" customFormat="1" customHeight="1" ht="0.75" hidden="1">
      <c r="A105" s="1845"/>
      <c r="B105" s="1845"/>
      <c r="C105" s="434" t="s">
        <v>1184</v>
      </c>
      <c r="D105" s="2527"/>
      <c r="E105" s="2269"/>
      <c r="F105" s="2448"/>
      <c r="G105" s="465"/>
      <c r="H105" s="1565"/>
      <c r="I105" s="716"/>
      <c r="J105" s="636"/>
      <c r="K105" s="1565"/>
      <c r="L105" s="279"/>
      <c r="M105" s="406"/>
      <c r="N105" s="399"/>
      <c r="O105" s="1689"/>
      <c r="P105" s="1689"/>
      <c r="AH105" s="1696">
        <v>0</v>
      </c>
    </row>
    <row s="4921" customFormat="1" customHeight="1" ht="18.75" hidden="1">
      <c r="A106" s="1845" t="s">
        <v>206</v>
      </c>
      <c r="B106" s="1845" t="s">
        <v>207</v>
      </c>
      <c r="C106" s="434"/>
      <c r="D106" s="2527"/>
      <c r="E106" s="2269"/>
      <c r="F106" s="2448" t="str">
        <f>INDEX(PT_DIFFERENTIATION_VTAR,MATCH(A106,PT_DIFFERENTIATION_VTAR_ID,0))</f>
        <v>Тарифы на услуги по передаче теплоносителя</v>
      </c>
      <c r="G106" s="2492" t="str">
        <f>INDEX(PT_DIFFERENTIATION_NTAR,MATCH(B106,PT_DIFFERENTIATION_NTAR_ID,0))</f>
        <v/>
      </c>
      <c r="H106" s="1927"/>
      <c r="I106" s="1804"/>
      <c r="J106" s="1838"/>
      <c r="K106" s="1843"/>
      <c r="L106" s="1927" t="s">
        <v>325</v>
      </c>
      <c r="M106" s="406"/>
      <c r="N106" s="399"/>
      <c r="O106" s="1689"/>
      <c r="P106" s="1689"/>
      <c r="AH106" s="1696">
        <v>0</v>
      </c>
    </row>
    <row s="4921" customFormat="1" customHeight="1" ht="18.75" hidden="1">
      <c r="A107" s="1845"/>
      <c r="B107" s="1845"/>
      <c r="C107" s="434" t="s">
        <v>1177</v>
      </c>
      <c r="D107" s="2527"/>
      <c r="E107" s="2269"/>
      <c r="F107" s="2448"/>
      <c r="G107" s="2492"/>
      <c r="H107" s="1565"/>
      <c r="I107" s="716" t="s">
        <v>1176</v>
      </c>
      <c r="J107" s="636"/>
      <c r="K107" s="1565"/>
      <c r="L107" s="279"/>
      <c r="M107" s="406"/>
      <c r="N107" s="399"/>
      <c r="O107" s="1689"/>
      <c r="P107" s="1689"/>
      <c r="AH107" s="1696">
        <v>0</v>
      </c>
    </row>
    <row s="4921" customFormat="1" customHeight="1" ht="0.75" hidden="1">
      <c r="A108" s="1845"/>
      <c r="B108" s="1845"/>
      <c r="C108" s="434" t="s">
        <v>1184</v>
      </c>
      <c r="D108" s="2527"/>
      <c r="E108" s="2269"/>
      <c r="F108" s="2448"/>
      <c r="G108" s="465"/>
      <c r="H108" s="1565"/>
      <c r="I108" s="716"/>
      <c r="J108" s="636"/>
      <c r="K108" s="1565"/>
      <c r="L108" s="279"/>
      <c r="M108" s="406"/>
      <c r="N108" s="399"/>
      <c r="O108" s="1689"/>
      <c r="P108" s="1689"/>
      <c r="AH108" s="1696">
        <v>0</v>
      </c>
    </row>
    <row s="4921" customFormat="1" customHeight="1" ht="18.75" hidden="1">
      <c r="A109" s="1845" t="s">
        <v>212</v>
      </c>
      <c r="B109" s="1845" t="s">
        <v>213</v>
      </c>
      <c r="C109" s="434"/>
      <c r="D109" s="2527"/>
      <c r="E109" s="2269"/>
      <c r="F109" s="2448"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92" t="str">
        <f>INDEX(PT_DIFFERENTIATION_NTAR,MATCH(B109,PT_DIFFERENTIATION_NTAR_ID,0))</f>
        <v/>
      </c>
      <c r="H109" s="1927"/>
      <c r="I109" s="1804"/>
      <c r="J109" s="1838"/>
      <c r="K109" s="1843"/>
      <c r="L109" s="1927" t="s">
        <v>325</v>
      </c>
      <c r="M109" s="406"/>
      <c r="N109" s="399"/>
      <c r="O109" s="1689"/>
      <c r="P109" s="1689"/>
      <c r="AH109" s="1696">
        <v>0</v>
      </c>
    </row>
    <row s="4921" customFormat="1" customHeight="1" ht="18.75" hidden="1">
      <c r="A110" s="1845"/>
      <c r="B110" s="1845"/>
      <c r="C110" s="434" t="s">
        <v>1177</v>
      </c>
      <c r="D110" s="2527"/>
      <c r="E110" s="2269"/>
      <c r="F110" s="2448"/>
      <c r="G110" s="2492"/>
      <c r="H110" s="1565"/>
      <c r="I110" s="716" t="s">
        <v>1176</v>
      </c>
      <c r="J110" s="636"/>
      <c r="K110" s="1565"/>
      <c r="L110" s="279"/>
      <c r="M110" s="406"/>
      <c r="N110" s="399"/>
      <c r="O110" s="1689"/>
      <c r="P110" s="1689"/>
      <c r="AH110" s="1696">
        <v>0</v>
      </c>
    </row>
    <row s="4921" customFormat="1" customHeight="1" ht="0.75" hidden="1">
      <c r="A111" s="1845"/>
      <c r="B111" s="1845"/>
      <c r="C111" s="434" t="s">
        <v>1184</v>
      </c>
      <c r="D111" s="2527"/>
      <c r="E111" s="2269"/>
      <c r="F111" s="2448"/>
      <c r="G111" s="465"/>
      <c r="H111" s="1565"/>
      <c r="I111" s="716"/>
      <c r="J111" s="636"/>
      <c r="K111" s="1565"/>
      <c r="L111" s="279"/>
      <c r="M111" s="406"/>
      <c r="N111" s="399"/>
      <c r="O111" s="1689"/>
      <c r="P111" s="1689"/>
      <c r="AH111" s="1696">
        <v>0</v>
      </c>
    </row>
    <row s="4921" customFormat="1" customHeight="1" ht="18.75" hidden="1">
      <c r="A112" s="1845" t="s">
        <v>218</v>
      </c>
      <c r="B112" s="1845" t="s">
        <v>219</v>
      </c>
      <c r="C112" s="434"/>
      <c r="D112" s="2527"/>
      <c r="E112" s="2269"/>
      <c r="F112" s="2448" t="str">
        <f>INDEX(PT_DIFFERENTIATION_VTAR,MATCH(A112,PT_DIFFERENTIATION_VTAR_ID,0))</f>
        <v>Плата за подключение (технологическое присоединение) к системе теплоснабжения</v>
      </c>
      <c r="G112" s="2492" t="str">
        <f>INDEX(PT_DIFFERENTIATION_NTAR,MATCH(B112,PT_DIFFERENTIATION_NTAR_ID,0))</f>
        <v/>
      </c>
      <c r="H112" s="1927"/>
      <c r="I112" s="1804"/>
      <c r="J112" s="1838"/>
      <c r="K112" s="1843"/>
      <c r="L112" s="1927" t="s">
        <v>325</v>
      </c>
      <c r="M112" s="406"/>
      <c r="N112" s="399"/>
      <c r="O112" s="1689"/>
      <c r="P112" s="1689"/>
      <c r="AH112" s="1696">
        <v>0</v>
      </c>
    </row>
    <row s="4921" customFormat="1" customHeight="1" ht="18.75" hidden="1">
      <c r="A113" s="1845"/>
      <c r="B113" s="1845"/>
      <c r="C113" s="434" t="s">
        <v>1177</v>
      </c>
      <c r="D113" s="2527"/>
      <c r="E113" s="2269"/>
      <c r="F113" s="2448"/>
      <c r="G113" s="2492"/>
      <c r="H113" s="1565"/>
      <c r="I113" s="716" t="s">
        <v>1176</v>
      </c>
      <c r="J113" s="636"/>
      <c r="K113" s="1565"/>
      <c r="L113" s="279"/>
      <c r="M113" s="406"/>
      <c r="N113" s="399"/>
      <c r="O113" s="1689"/>
      <c r="P113" s="1689"/>
      <c r="AH113" s="1696">
        <v>0</v>
      </c>
    </row>
    <row s="4921" customFormat="1" customHeight="1" ht="0.75" hidden="1">
      <c r="A114" s="1845"/>
      <c r="B114" s="1845"/>
      <c r="C114" s="434" t="s">
        <v>1184</v>
      </c>
      <c r="D114" s="2527"/>
      <c r="E114" s="2269"/>
      <c r="F114" s="2448"/>
      <c r="G114" s="465"/>
      <c r="H114" s="1565"/>
      <c r="I114" s="716"/>
      <c r="J114" s="636"/>
      <c r="K114" s="1565"/>
      <c r="L114" s="279"/>
      <c r="M114" s="406"/>
      <c r="N114" s="399"/>
      <c r="O114" s="1689"/>
      <c r="P114" s="1689"/>
      <c r="AH114" s="1696">
        <v>0</v>
      </c>
    </row>
    <row s="4921" customFormat="1" customHeight="1" ht="18.75" hidden="1">
      <c r="A115" s="1845" t="s">
        <v>224</v>
      </c>
      <c r="B115" s="1845" t="s">
        <v>225</v>
      </c>
      <c r="C115" s="434"/>
      <c r="D115" s="2527"/>
      <c r="E115" s="2269"/>
      <c r="F115" s="2448" t="str">
        <f>INDEX(PT_DIFFERENTIATION_VTAR,MATCH(A115,PT_DIFFERENTIATION_VTAR_ID,0))</f>
        <v>Плата за подключение (технологическое присоединение) к системе теплоснабжения (индивидуальная)</v>
      </c>
      <c r="G115" s="2492" t="str">
        <f>INDEX(PT_DIFFERENTIATION_NTAR,MATCH(B115,PT_DIFFERENTIATION_NTAR_ID,0))</f>
        <v/>
      </c>
      <c r="H115" s="2054"/>
      <c r="I115" s="1804"/>
      <c r="J115" s="1838"/>
      <c r="K115" s="1843"/>
      <c r="L115" s="2054" t="s">
        <v>325</v>
      </c>
      <c r="M115" s="406"/>
      <c r="N115" s="399"/>
      <c r="O115" s="1689"/>
      <c r="P115" s="1689"/>
      <c r="AH115" s="1696">
        <v>0</v>
      </c>
    </row>
    <row s="4921" customFormat="1" customHeight="1" ht="18.75" hidden="1">
      <c r="A116" s="1845"/>
      <c r="B116" s="1845"/>
      <c r="C116" s="434" t="s">
        <v>1177</v>
      </c>
      <c r="D116" s="2527"/>
      <c r="E116" s="2269"/>
      <c r="F116" s="2448"/>
      <c r="G116" s="2492"/>
      <c r="H116" s="1565"/>
      <c r="I116" s="716" t="s">
        <v>1176</v>
      </c>
      <c r="J116" s="636"/>
      <c r="K116" s="1565"/>
      <c r="L116" s="279"/>
      <c r="M116" s="406"/>
      <c r="N116" s="399"/>
      <c r="O116" s="1689"/>
      <c r="P116" s="1689"/>
      <c r="AH116" s="1696">
        <v>0</v>
      </c>
    </row>
    <row s="4921" customFormat="1" customHeight="1" ht="0.75" hidden="1">
      <c r="A117" s="1845"/>
      <c r="B117" s="1845"/>
      <c r="C117" s="434" t="s">
        <v>1184</v>
      </c>
      <c r="D117" s="2527"/>
      <c r="E117" s="2269"/>
      <c r="F117" s="2448"/>
      <c r="G117" s="465"/>
      <c r="H117" s="1565"/>
      <c r="I117" s="716"/>
      <c r="J117" s="636"/>
      <c r="K117" s="1565"/>
      <c r="L117" s="279"/>
      <c r="M117" s="406"/>
      <c r="N117" s="399"/>
      <c r="O117" s="1689"/>
      <c r="P117" s="1689"/>
      <c r="AH117" s="1696">
        <v>0</v>
      </c>
    </row>
    <row s="4921" customFormat="1" customHeight="1" ht="18.75" hidden="1">
      <c r="A118" s="1845" t="s">
        <v>244</v>
      </c>
      <c r="B118" s="1845" t="s">
        <v>245</v>
      </c>
      <c r="C118" s="434"/>
      <c r="D118" s="2527"/>
      <c r="E118" s="2269"/>
      <c r="F118" s="2448" t="str">
        <f>INDEX(PT_DIFFERENTIATION_VTAR,MATCH(A118,PT_DIFFERENTIATION_VTAR_ID,0))</f>
        <v>Тариф на питьевую воду (питьевое водоснабжение)</v>
      </c>
      <c r="G118" s="2492" t="str">
        <f>INDEX(PT_DIFFERENTIATION_NTAR,MATCH(B118,PT_DIFFERENTIATION_NTAR_ID,0))</f>
        <v/>
      </c>
      <c r="H118" s="1927"/>
      <c r="I118" s="1804"/>
      <c r="J118" s="1838"/>
      <c r="K118" s="1843"/>
      <c r="L118" s="1927" t="s">
        <v>325</v>
      </c>
      <c r="M118" s="406"/>
      <c r="N118" s="399"/>
      <c r="O118" s="1689"/>
      <c r="P118" s="1689"/>
      <c r="AH118" s="1696">
        <v>0</v>
      </c>
    </row>
    <row s="4921" customFormat="1" customHeight="1" ht="18.75" hidden="1">
      <c r="A119" s="1845"/>
      <c r="B119" s="1845"/>
      <c r="C119" s="434" t="s">
        <v>1177</v>
      </c>
      <c r="D119" s="2527"/>
      <c r="E119" s="2269"/>
      <c r="F119" s="2448"/>
      <c r="G119" s="2492"/>
      <c r="H119" s="1565"/>
      <c r="I119" s="716" t="s">
        <v>1176</v>
      </c>
      <c r="J119" s="636"/>
      <c r="K119" s="1565"/>
      <c r="L119" s="279"/>
      <c r="M119" s="406"/>
      <c r="N119" s="399"/>
      <c r="O119" s="1689"/>
      <c r="P119" s="1689"/>
      <c r="AH119" s="1696">
        <v>0</v>
      </c>
    </row>
    <row s="4921" customFormat="1" customHeight="1" ht="0.75" hidden="1">
      <c r="A120" s="1845"/>
      <c r="B120" s="1845"/>
      <c r="C120" s="434" t="s">
        <v>1184</v>
      </c>
      <c r="D120" s="2527"/>
      <c r="E120" s="2269"/>
      <c r="F120" s="2448"/>
      <c r="G120" s="465"/>
      <c r="H120" s="1565"/>
      <c r="I120" s="716"/>
      <c r="J120" s="636"/>
      <c r="K120" s="1565"/>
      <c r="L120" s="279"/>
      <c r="M120" s="406"/>
      <c r="N120" s="399"/>
      <c r="O120" s="1689"/>
      <c r="P120" s="1689"/>
      <c r="AH120" s="1696">
        <v>0</v>
      </c>
    </row>
    <row s="4921" customFormat="1" customHeight="1" ht="18.75" hidden="1">
      <c r="A121" s="1845" t="s">
        <v>249</v>
      </c>
      <c r="B121" s="1845" t="s">
        <v>250</v>
      </c>
      <c r="C121" s="434"/>
      <c r="D121" s="2527"/>
      <c r="E121" s="2269"/>
      <c r="F121" s="2448" t="str">
        <f>INDEX(PT_DIFFERENTIATION_VTAR,MATCH(A121,PT_DIFFERENTIATION_VTAR_ID,0))</f>
        <v>Тариф на техническую воду</v>
      </c>
      <c r="G121" s="2492" t="str">
        <f>INDEX(PT_DIFFERENTIATION_NTAR,MATCH(B121,PT_DIFFERENTIATION_NTAR_ID,0))</f>
        <v/>
      </c>
      <c r="H121" s="1927"/>
      <c r="I121" s="1804"/>
      <c r="J121" s="1838"/>
      <c r="K121" s="1843"/>
      <c r="L121" s="1927" t="s">
        <v>325</v>
      </c>
      <c r="M121" s="406"/>
      <c r="N121" s="399"/>
      <c r="O121" s="1689"/>
      <c r="P121" s="1689"/>
      <c r="AH121" s="1696">
        <v>0</v>
      </c>
    </row>
    <row s="4921" customFormat="1" customHeight="1" ht="18.75" hidden="1">
      <c r="A122" s="1845"/>
      <c r="B122" s="1845"/>
      <c r="C122" s="434" t="s">
        <v>1177</v>
      </c>
      <c r="D122" s="2527"/>
      <c r="E122" s="2269"/>
      <c r="F122" s="2448"/>
      <c r="G122" s="2492"/>
      <c r="H122" s="1565"/>
      <c r="I122" s="716" t="s">
        <v>1176</v>
      </c>
      <c r="J122" s="636"/>
      <c r="K122" s="1565"/>
      <c r="L122" s="279"/>
      <c r="M122" s="406"/>
      <c r="N122" s="399"/>
      <c r="O122" s="1689"/>
      <c r="P122" s="1689"/>
      <c r="AH122" s="1696">
        <v>0</v>
      </c>
    </row>
    <row s="4921" customFormat="1" customHeight="1" ht="0.75" hidden="1">
      <c r="A123" s="1845"/>
      <c r="B123" s="1845"/>
      <c r="C123" s="434" t="s">
        <v>1184</v>
      </c>
      <c r="D123" s="2527"/>
      <c r="E123" s="2269"/>
      <c r="F123" s="2448"/>
      <c r="G123" s="465"/>
      <c r="H123" s="1565"/>
      <c r="I123" s="716"/>
      <c r="J123" s="636"/>
      <c r="K123" s="1565"/>
      <c r="L123" s="279"/>
      <c r="M123" s="406"/>
      <c r="N123" s="399"/>
      <c r="O123" s="1689"/>
      <c r="P123" s="1689"/>
      <c r="AH123" s="1696">
        <v>0</v>
      </c>
    </row>
    <row s="4921" customFormat="1" customHeight="1" ht="18.75" hidden="1">
      <c r="A124" s="1845" t="s">
        <v>254</v>
      </c>
      <c r="B124" s="1845" t="s">
        <v>255</v>
      </c>
      <c r="C124" s="434"/>
      <c r="D124" s="2527"/>
      <c r="E124" s="2269"/>
      <c r="F124" s="2448" t="str">
        <f>INDEX(PT_DIFFERENTIATION_VTAR,MATCH(A124,PT_DIFFERENTIATION_VTAR_ID,0))</f>
        <v>Тариф на транспортировку воды</v>
      </c>
      <c r="G124" s="2492" t="str">
        <f>INDEX(PT_DIFFERENTIATION_NTAR,MATCH(B124,PT_DIFFERENTIATION_NTAR_ID,0))</f>
        <v/>
      </c>
      <c r="H124" s="1927"/>
      <c r="I124" s="1804"/>
      <c r="J124" s="1838"/>
      <c r="K124" s="1843"/>
      <c r="L124" s="1927" t="s">
        <v>325</v>
      </c>
      <c r="M124" s="406"/>
      <c r="N124" s="399"/>
      <c r="O124" s="1689"/>
      <c r="P124" s="1689"/>
      <c r="AH124" s="1696">
        <v>0</v>
      </c>
    </row>
    <row s="4921" customFormat="1" customHeight="1" ht="18.75" hidden="1">
      <c r="A125" s="1845"/>
      <c r="B125" s="1845"/>
      <c r="C125" s="434" t="s">
        <v>1177</v>
      </c>
      <c r="D125" s="2527"/>
      <c r="E125" s="2269"/>
      <c r="F125" s="2448"/>
      <c r="G125" s="2492"/>
      <c r="H125" s="1565"/>
      <c r="I125" s="716" t="s">
        <v>1176</v>
      </c>
      <c r="J125" s="636"/>
      <c r="K125" s="1565"/>
      <c r="L125" s="279"/>
      <c r="M125" s="406"/>
      <c r="N125" s="399"/>
      <c r="O125" s="1689"/>
      <c r="P125" s="1689"/>
      <c r="AH125" s="1696">
        <v>0</v>
      </c>
    </row>
    <row s="4921" customFormat="1" customHeight="1" ht="0.75" hidden="1">
      <c r="A126" s="1845"/>
      <c r="B126" s="1845"/>
      <c r="C126" s="434" t="s">
        <v>1184</v>
      </c>
      <c r="D126" s="2527"/>
      <c r="E126" s="2269"/>
      <c r="F126" s="2448"/>
      <c r="G126" s="465"/>
      <c r="H126" s="1565"/>
      <c r="I126" s="716"/>
      <c r="J126" s="636"/>
      <c r="K126" s="1565"/>
      <c r="L126" s="279"/>
      <c r="M126" s="406"/>
      <c r="N126" s="399"/>
      <c r="O126" s="1689"/>
      <c r="P126" s="1689"/>
      <c r="AH126" s="1696">
        <v>0</v>
      </c>
    </row>
    <row s="4921" customFormat="1" customHeight="1" ht="18.75" hidden="1">
      <c r="A127" s="1845" t="s">
        <v>259</v>
      </c>
      <c r="B127" s="1845" t="s">
        <v>260</v>
      </c>
      <c r="C127" s="434"/>
      <c r="D127" s="2527"/>
      <c r="E127" s="2269"/>
      <c r="F127" s="2448" t="str">
        <f>INDEX(PT_DIFFERENTIATION_VTAR,MATCH(A127,PT_DIFFERENTIATION_VTAR_ID,0))</f>
        <v>Тариф на подвоз воды</v>
      </c>
      <c r="G127" s="2492" t="str">
        <f>INDEX(PT_DIFFERENTIATION_NTAR,MATCH(B127,PT_DIFFERENTIATION_NTAR_ID,0))</f>
        <v/>
      </c>
      <c r="H127" s="1927"/>
      <c r="I127" s="1804"/>
      <c r="J127" s="1838"/>
      <c r="K127" s="1843"/>
      <c r="L127" s="1927" t="s">
        <v>325</v>
      </c>
      <c r="M127" s="406"/>
      <c r="N127" s="399"/>
      <c r="O127" s="1689"/>
      <c r="P127" s="1689"/>
      <c r="AH127" s="1696">
        <v>0</v>
      </c>
    </row>
    <row s="4921" customFormat="1" customHeight="1" ht="18.75" hidden="1">
      <c r="A128" s="1845"/>
      <c r="B128" s="1845"/>
      <c r="C128" s="434" t="s">
        <v>1177</v>
      </c>
      <c r="D128" s="2527"/>
      <c r="E128" s="2269"/>
      <c r="F128" s="2448"/>
      <c r="G128" s="2492"/>
      <c r="H128" s="1565"/>
      <c r="I128" s="716" t="s">
        <v>1176</v>
      </c>
      <c r="J128" s="636"/>
      <c r="K128" s="1565"/>
      <c r="L128" s="279"/>
      <c r="M128" s="406"/>
      <c r="N128" s="399"/>
      <c r="O128" s="1689"/>
      <c r="P128" s="1689"/>
      <c r="AH128" s="1696">
        <v>0</v>
      </c>
    </row>
    <row s="4921" customFormat="1" customHeight="1" ht="0.75" hidden="1">
      <c r="A129" s="1845"/>
      <c r="B129" s="1845"/>
      <c r="C129" s="434" t="s">
        <v>1184</v>
      </c>
      <c r="D129" s="2527"/>
      <c r="E129" s="2269"/>
      <c r="F129" s="2448"/>
      <c r="G129" s="465"/>
      <c r="H129" s="1565"/>
      <c r="I129" s="716"/>
      <c r="J129" s="636"/>
      <c r="K129" s="1565"/>
      <c r="L129" s="279"/>
      <c r="M129" s="406"/>
      <c r="N129" s="399"/>
      <c r="O129" s="1689"/>
      <c r="P129" s="1689"/>
      <c r="AH129" s="1696">
        <v>0</v>
      </c>
    </row>
    <row s="4921" customFormat="1" customHeight="1" ht="18.75" hidden="1">
      <c r="A130" s="1845" t="s">
        <v>264</v>
      </c>
      <c r="B130" s="1845" t="s">
        <v>265</v>
      </c>
      <c r="C130" s="434"/>
      <c r="D130" s="2527"/>
      <c r="E130" s="2269"/>
      <c r="F130" s="2448"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92" t="str">
        <f>INDEX(PT_DIFFERENTIATION_NTAR,MATCH(B130,PT_DIFFERENTIATION_NTAR_ID,0))</f>
        <v/>
      </c>
      <c r="H130" s="1927"/>
      <c r="I130" s="1804"/>
      <c r="J130" s="1838"/>
      <c r="K130" s="1843"/>
      <c r="L130" s="1927" t="s">
        <v>325</v>
      </c>
      <c r="M130" s="406"/>
      <c r="N130" s="399"/>
      <c r="O130" s="1689"/>
      <c r="P130" s="1689"/>
      <c r="AH130" s="1696">
        <v>0</v>
      </c>
    </row>
    <row s="4921" customFormat="1" customHeight="1" ht="18.75" hidden="1">
      <c r="A131" s="1845"/>
      <c r="B131" s="1845"/>
      <c r="C131" s="434" t="s">
        <v>1177</v>
      </c>
      <c r="D131" s="2527"/>
      <c r="E131" s="2269"/>
      <c r="F131" s="2448"/>
      <c r="G131" s="2492"/>
      <c r="H131" s="1565"/>
      <c r="I131" s="716" t="s">
        <v>1176</v>
      </c>
      <c r="J131" s="636"/>
      <c r="K131" s="1565"/>
      <c r="L131" s="279"/>
      <c r="M131" s="406"/>
      <c r="N131" s="399"/>
      <c r="O131" s="1689"/>
      <c r="P131" s="1689"/>
      <c r="AH131" s="1696">
        <v>0</v>
      </c>
    </row>
    <row s="4921" customFormat="1" customHeight="1" ht="0.75" hidden="1">
      <c r="A132" s="1845"/>
      <c r="B132" s="1845"/>
      <c r="C132" s="434" t="s">
        <v>1184</v>
      </c>
      <c r="D132" s="2527"/>
      <c r="E132" s="2269"/>
      <c r="F132" s="2448"/>
      <c r="G132" s="465"/>
      <c r="H132" s="1565"/>
      <c r="I132" s="716"/>
      <c r="J132" s="636"/>
      <c r="K132" s="1565"/>
      <c r="L132" s="279"/>
      <c r="M132" s="406"/>
      <c r="N132" s="399"/>
      <c r="O132" s="1689"/>
      <c r="P132" s="1689"/>
      <c r="AH132" s="1696">
        <v>0</v>
      </c>
    </row>
    <row s="4921" customFormat="1" customHeight="1" ht="18.75" hidden="1">
      <c r="A133" s="1845" t="s">
        <v>269</v>
      </c>
      <c r="B133" s="1845" t="s">
        <v>270</v>
      </c>
      <c r="C133" s="434"/>
      <c r="D133" s="2527"/>
      <c r="E133" s="2269"/>
      <c r="F133" s="2448" t="str">
        <f>INDEX(PT_DIFFERENTIATION_VTAR,MATCH(A133,PT_DIFFERENTIATION_VTAR_ID,0))</f>
        <v>Тариф на горячую воду (горячее водоснабжение)</v>
      </c>
      <c r="G133" s="2492" t="str">
        <f>INDEX(PT_DIFFERENTIATION_NTAR,MATCH(B133,PT_DIFFERENTIATION_NTAR_ID,0))</f>
        <v/>
      </c>
      <c r="H133" s="1927"/>
      <c r="I133" s="1804"/>
      <c r="J133" s="1838"/>
      <c r="K133" s="1843"/>
      <c r="L133" s="1927" t="s">
        <v>325</v>
      </c>
      <c r="M133" s="406"/>
      <c r="N133" s="399"/>
      <c r="O133" s="1689"/>
      <c r="P133" s="1689"/>
      <c r="AH133" s="1696">
        <v>0</v>
      </c>
    </row>
    <row s="4921" customFormat="1" customHeight="1" ht="18.75" hidden="1">
      <c r="A134" s="1845"/>
      <c r="B134" s="1845"/>
      <c r="C134" s="434" t="s">
        <v>1177</v>
      </c>
      <c r="D134" s="2527"/>
      <c r="E134" s="2269"/>
      <c r="F134" s="2448"/>
      <c r="G134" s="2492"/>
      <c r="H134" s="1565"/>
      <c r="I134" s="716" t="s">
        <v>1176</v>
      </c>
      <c r="J134" s="636"/>
      <c r="K134" s="1565"/>
      <c r="L134" s="279"/>
      <c r="M134" s="406"/>
      <c r="N134" s="399"/>
      <c r="O134" s="1689"/>
      <c r="P134" s="1689"/>
      <c r="AH134" s="1696">
        <v>0</v>
      </c>
    </row>
    <row s="4921" customFormat="1" customHeight="1" ht="0.75" hidden="1">
      <c r="A135" s="1845"/>
      <c r="B135" s="1845"/>
      <c r="C135" s="434" t="s">
        <v>1184</v>
      </c>
      <c r="D135" s="2527"/>
      <c r="E135" s="2269"/>
      <c r="F135" s="2448"/>
      <c r="G135" s="465"/>
      <c r="H135" s="1565"/>
      <c r="I135" s="716"/>
      <c r="J135" s="636"/>
      <c r="K135" s="1565"/>
      <c r="L135" s="279"/>
      <c r="M135" s="406"/>
      <c r="N135" s="399"/>
      <c r="O135" s="1689"/>
      <c r="P135" s="1689"/>
      <c r="AH135" s="1696">
        <v>0</v>
      </c>
    </row>
    <row s="4921" customFormat="1" customHeight="1" ht="18.75" hidden="1">
      <c r="A136" s="1845" t="s">
        <v>274</v>
      </c>
      <c r="B136" s="1845" t="s">
        <v>275</v>
      </c>
      <c r="C136" s="434"/>
      <c r="D136" s="2527"/>
      <c r="E136" s="2269"/>
      <c r="F136" s="2448" t="str">
        <f>INDEX(PT_DIFFERENTIATION_VTAR,MATCH(A136,PT_DIFFERENTIATION_VTAR_ID,0))</f>
        <v>Тариф на транспортировку горячей воды</v>
      </c>
      <c r="G136" s="2492" t="str">
        <f>INDEX(PT_DIFFERENTIATION_NTAR,MATCH(B136,PT_DIFFERENTIATION_NTAR_ID,0))</f>
        <v/>
      </c>
      <c r="H136" s="1927"/>
      <c r="I136" s="1804"/>
      <c r="J136" s="1838"/>
      <c r="K136" s="1843"/>
      <c r="L136" s="1927" t="s">
        <v>325</v>
      </c>
      <c r="M136" s="406"/>
      <c r="N136" s="399"/>
      <c r="O136" s="1689"/>
      <c r="P136" s="1689"/>
      <c r="AH136" s="1696">
        <v>0</v>
      </c>
    </row>
    <row s="4921" customFormat="1" customHeight="1" ht="18.75" hidden="1">
      <c r="A137" s="1845"/>
      <c r="B137" s="1845"/>
      <c r="C137" s="434" t="s">
        <v>1177</v>
      </c>
      <c r="D137" s="2527"/>
      <c r="E137" s="2269"/>
      <c r="F137" s="2448"/>
      <c r="G137" s="2492"/>
      <c r="H137" s="1565"/>
      <c r="I137" s="716" t="s">
        <v>1176</v>
      </c>
      <c r="J137" s="636"/>
      <c r="K137" s="1565"/>
      <c r="L137" s="279"/>
      <c r="M137" s="406"/>
      <c r="N137" s="399"/>
      <c r="O137" s="1689"/>
      <c r="P137" s="1689"/>
      <c r="AH137" s="1696">
        <v>0</v>
      </c>
    </row>
    <row s="4921" customFormat="1" customHeight="1" ht="0.75" hidden="1">
      <c r="A138" s="1845"/>
      <c r="B138" s="1845"/>
      <c r="C138" s="434" t="s">
        <v>1184</v>
      </c>
      <c r="D138" s="2527"/>
      <c r="E138" s="2269"/>
      <c r="F138" s="2448"/>
      <c r="G138" s="465"/>
      <c r="H138" s="1565"/>
      <c r="I138" s="716"/>
      <c r="J138" s="636"/>
      <c r="K138" s="1565"/>
      <c r="L138" s="279"/>
      <c r="M138" s="406"/>
      <c r="N138" s="399"/>
      <c r="O138" s="1689"/>
      <c r="P138" s="1689"/>
      <c r="AH138" s="1696">
        <v>0</v>
      </c>
    </row>
    <row s="4921" customFormat="1" customHeight="1" ht="18.75" hidden="1">
      <c r="A139" s="1845" t="s">
        <v>279</v>
      </c>
      <c r="B139" s="1845" t="s">
        <v>280</v>
      </c>
      <c r="C139" s="434"/>
      <c r="D139" s="2527"/>
      <c r="E139" s="2269"/>
      <c r="F139" s="2448"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92" t="str">
        <f>INDEX(PT_DIFFERENTIATION_NTAR,MATCH(B139,PT_DIFFERENTIATION_NTAR_ID,0))</f>
        <v/>
      </c>
      <c r="H139" s="1927"/>
      <c r="I139" s="1804"/>
      <c r="J139" s="1838"/>
      <c r="K139" s="1843"/>
      <c r="L139" s="1927" t="s">
        <v>325</v>
      </c>
      <c r="M139" s="406"/>
      <c r="N139" s="399"/>
      <c r="O139" s="1689"/>
      <c r="P139" s="1689"/>
      <c r="AH139" s="1696">
        <v>0</v>
      </c>
    </row>
    <row s="4921" customFormat="1" customHeight="1" ht="18.75" hidden="1">
      <c r="A140" s="1845"/>
      <c r="B140" s="1845"/>
      <c r="C140" s="434" t="s">
        <v>1177</v>
      </c>
      <c r="D140" s="2527"/>
      <c r="E140" s="2269"/>
      <c r="F140" s="2448"/>
      <c r="G140" s="2492"/>
      <c r="H140" s="1565"/>
      <c r="I140" s="716" t="s">
        <v>1176</v>
      </c>
      <c r="J140" s="636"/>
      <c r="K140" s="1565"/>
      <c r="L140" s="279"/>
      <c r="M140" s="406"/>
      <c r="N140" s="399"/>
      <c r="O140" s="1689"/>
      <c r="P140" s="1689"/>
      <c r="AH140" s="1696">
        <v>0</v>
      </c>
    </row>
    <row s="4921" customFormat="1" customHeight="1" ht="0.75" hidden="1">
      <c r="A141" s="1845"/>
      <c r="B141" s="1845"/>
      <c r="C141" s="434" t="s">
        <v>1184</v>
      </c>
      <c r="D141" s="2527"/>
      <c r="E141" s="2269"/>
      <c r="F141" s="2448"/>
      <c r="G141" s="465"/>
      <c r="H141" s="1565"/>
      <c r="I141" s="716"/>
      <c r="J141" s="636"/>
      <c r="K141" s="1565"/>
      <c r="L141" s="279"/>
      <c r="M141" s="406"/>
      <c r="N141" s="399"/>
      <c r="O141" s="1689"/>
      <c r="P141" s="1689"/>
      <c r="AH141" s="1696">
        <v>0</v>
      </c>
    </row>
    <row s="4921" customFormat="1" customHeight="1" ht="18.75" hidden="1">
      <c r="A142" s="1845" t="s">
        <v>284</v>
      </c>
      <c r="B142" s="1845" t="s">
        <v>285</v>
      </c>
      <c r="C142" s="434"/>
      <c r="D142" s="2527"/>
      <c r="E142" s="2269"/>
      <c r="F142" s="2448" t="str">
        <f>INDEX(PT_DIFFERENTIATION_VTAR,MATCH(A142,PT_DIFFERENTIATION_VTAR_ID,0))</f>
        <v>Тариф на водоотведение</v>
      </c>
      <c r="G142" s="2492" t="str">
        <f>INDEX(PT_DIFFERENTIATION_NTAR,MATCH(B142,PT_DIFFERENTIATION_NTAR_ID,0))</f>
        <v/>
      </c>
      <c r="H142" s="1927"/>
      <c r="I142" s="1804"/>
      <c r="J142" s="1838"/>
      <c r="K142" s="1843"/>
      <c r="L142" s="1927" t="s">
        <v>325</v>
      </c>
      <c r="M142" s="406"/>
      <c r="N142" s="399"/>
      <c r="O142" s="1689"/>
      <c r="P142" s="1689"/>
      <c r="AH142" s="1696">
        <v>0</v>
      </c>
    </row>
    <row s="4921" customFormat="1" customHeight="1" ht="18.75" hidden="1">
      <c r="A143" s="1845"/>
      <c r="B143" s="1845"/>
      <c r="C143" s="434" t="s">
        <v>1177</v>
      </c>
      <c r="D143" s="2527"/>
      <c r="E143" s="2269"/>
      <c r="F143" s="2448"/>
      <c r="G143" s="2492"/>
      <c r="H143" s="1565"/>
      <c r="I143" s="716" t="s">
        <v>1176</v>
      </c>
      <c r="J143" s="636"/>
      <c r="K143" s="1565"/>
      <c r="L143" s="279"/>
      <c r="M143" s="406"/>
      <c r="N143" s="399"/>
      <c r="O143" s="1689"/>
      <c r="P143" s="1689"/>
      <c r="AH143" s="1696">
        <v>0</v>
      </c>
    </row>
    <row s="4921" customFormat="1" customHeight="1" ht="0.75" hidden="1">
      <c r="A144" s="1845"/>
      <c r="B144" s="1845"/>
      <c r="C144" s="434" t="s">
        <v>1184</v>
      </c>
      <c r="D144" s="2527"/>
      <c r="E144" s="2269"/>
      <c r="F144" s="2448"/>
      <c r="G144" s="465"/>
      <c r="H144" s="1565"/>
      <c r="I144" s="716"/>
      <c r="J144" s="636"/>
      <c r="K144" s="1565"/>
      <c r="L144" s="279"/>
      <c r="M144" s="406"/>
      <c r="N144" s="399"/>
      <c r="O144" s="1689"/>
      <c r="P144" s="1689"/>
      <c r="AH144" s="1696">
        <v>0</v>
      </c>
    </row>
    <row s="4921" customFormat="1" customHeight="1" ht="18.75" hidden="1">
      <c r="A145" s="1845" t="s">
        <v>289</v>
      </c>
      <c r="B145" s="1845" t="s">
        <v>290</v>
      </c>
      <c r="C145" s="434"/>
      <c r="D145" s="2527"/>
      <c r="E145" s="2269"/>
      <c r="F145" s="2448" t="str">
        <f>INDEX(PT_DIFFERENTIATION_VTAR,MATCH(A145,PT_DIFFERENTIATION_VTAR_ID,0))</f>
        <v>Тариф на транспортировку сточных вод</v>
      </c>
      <c r="G145" s="2492" t="str">
        <f>INDEX(PT_DIFFERENTIATION_NTAR,MATCH(B145,PT_DIFFERENTIATION_NTAR_ID,0))</f>
        <v/>
      </c>
      <c r="H145" s="1927"/>
      <c r="I145" s="1804"/>
      <c r="J145" s="1838"/>
      <c r="K145" s="1843"/>
      <c r="L145" s="1927" t="s">
        <v>325</v>
      </c>
      <c r="M145" s="406"/>
      <c r="N145" s="399"/>
      <c r="O145" s="1689"/>
      <c r="P145" s="1689"/>
      <c r="AH145" s="1696">
        <v>0</v>
      </c>
    </row>
    <row s="4921" customFormat="1" customHeight="1" ht="18.75" hidden="1">
      <c r="A146" s="1845"/>
      <c r="B146" s="1845"/>
      <c r="C146" s="434" t="s">
        <v>1177</v>
      </c>
      <c r="D146" s="2527"/>
      <c r="E146" s="2269"/>
      <c r="F146" s="2448"/>
      <c r="G146" s="2492"/>
      <c r="H146" s="1565"/>
      <c r="I146" s="716" t="s">
        <v>1176</v>
      </c>
      <c r="J146" s="636"/>
      <c r="K146" s="1565"/>
      <c r="L146" s="279"/>
      <c r="M146" s="406"/>
      <c r="N146" s="399"/>
      <c r="O146" s="1689"/>
      <c r="P146" s="1689"/>
      <c r="AH146" s="1696">
        <v>0</v>
      </c>
    </row>
    <row s="4921" customFormat="1" customHeight="1" ht="0.75" hidden="1">
      <c r="A147" s="1845"/>
      <c r="B147" s="1845"/>
      <c r="C147" s="434" t="s">
        <v>1184</v>
      </c>
      <c r="D147" s="2527"/>
      <c r="E147" s="2269"/>
      <c r="F147" s="2448"/>
      <c r="G147" s="465"/>
      <c r="H147" s="1565"/>
      <c r="I147" s="716"/>
      <c r="J147" s="636"/>
      <c r="K147" s="1565"/>
      <c r="L147" s="279"/>
      <c r="M147" s="406"/>
      <c r="N147" s="399"/>
      <c r="O147" s="1689"/>
      <c r="P147" s="1689"/>
      <c r="AH147" s="1696">
        <v>0</v>
      </c>
    </row>
    <row s="4921" customFormat="1" customHeight="1" ht="18.75" hidden="1">
      <c r="A148" s="1845" t="s">
        <v>294</v>
      </c>
      <c r="B148" s="1845" t="s">
        <v>295</v>
      </c>
      <c r="C148" s="434"/>
      <c r="D148" s="2527"/>
      <c r="E148" s="2269"/>
      <c r="F148" s="2448" t="str">
        <f>INDEX(PT_DIFFERENTIATION_VTAR,MATCH(A148,PT_DIFFERENTIATION_VTAR_ID,0))</f>
        <v>Тариф на подключение (технологическое присоединение) к централизованной системе водоотведения</v>
      </c>
      <c r="G148" s="2492" t="str">
        <f>INDEX(PT_DIFFERENTIATION_NTAR,MATCH(B148,PT_DIFFERENTIATION_NTAR_ID,0))</f>
        <v/>
      </c>
      <c r="H148" s="1927"/>
      <c r="I148" s="1804"/>
      <c r="J148" s="1838"/>
      <c r="K148" s="1843"/>
      <c r="L148" s="1927" t="s">
        <v>325</v>
      </c>
      <c r="M148" s="406"/>
      <c r="N148" s="399"/>
      <c r="O148" s="1689"/>
      <c r="P148" s="1689"/>
      <c r="AH148" s="1696">
        <v>0</v>
      </c>
    </row>
    <row s="4921" customFormat="1" customHeight="1" ht="18.75" hidden="1">
      <c r="A149" s="1845"/>
      <c r="B149" s="1845"/>
      <c r="C149" s="434" t="s">
        <v>1177</v>
      </c>
      <c r="D149" s="2527"/>
      <c r="E149" s="2269"/>
      <c r="F149" s="2448"/>
      <c r="G149" s="2492"/>
      <c r="H149" s="1565"/>
      <c r="I149" s="716" t="s">
        <v>1176</v>
      </c>
      <c r="J149" s="636"/>
      <c r="K149" s="1565"/>
      <c r="L149" s="279"/>
      <c r="M149" s="406"/>
      <c r="N149" s="399"/>
      <c r="O149" s="1689"/>
      <c r="P149" s="1689"/>
      <c r="AH149" s="1696">
        <v>0</v>
      </c>
    </row>
    <row s="4921" customFormat="1" customHeight="1" ht="1.05">
      <c r="A150" s="1845"/>
      <c r="B150" s="1845"/>
      <c r="C150" s="434" t="s">
        <v>1184</v>
      </c>
      <c r="D150" s="2527"/>
      <c r="E150" s="2269"/>
      <c r="F150" s="2448"/>
      <c r="G150" s="465"/>
      <c r="H150" s="1565"/>
      <c r="I150" s="716"/>
      <c r="J150" s="636"/>
      <c r="K150" s="1565"/>
      <c r="L150" s="279"/>
      <c r="M150" s="406"/>
      <c r="N150" s="399"/>
      <c r="O150" s="1689"/>
      <c r="P150" s="1689"/>
      <c r="AH150" s="1696">
        <v>1</v>
      </c>
    </row>
    <row customHeight="1" ht="19.95">
      <c r="A151" s="1845"/>
      <c r="B151" s="1845"/>
      <c r="D151" s="441"/>
      <c r="E151" s="212" t="s">
        <v>94</v>
      </c>
      <c r="F151"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25"/>
      <c r="H151" s="2525"/>
      <c r="I151" s="2525"/>
      <c r="J151" s="2525"/>
      <c r="K151" s="2525"/>
      <c r="L151" s="2525"/>
      <c r="M151" s="362"/>
      <c r="N151" s="399"/>
      <c r="AH151" s="439">
        <v>19</v>
      </c>
    </row>
    <row s="4921" customFormat="1" customHeight="1" ht="60.75" hidden="1">
      <c r="A152" s="1845" t="s">
        <v>160</v>
      </c>
      <c r="B152" s="1845" t="s">
        <v>161</v>
      </c>
      <c r="C152" s="434"/>
      <c r="D152" s="2527"/>
      <c r="E152" s="2269"/>
      <c r="F152" s="2448"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92" t="str">
        <f>INDEX(PT_DIFFERENTIATION_NTAR,MATCH(B152,PT_DIFFERENTIATION_NTAR_ID,0))</f>
        <v>Тариф на коллекторах источника тепловой энергии</v>
      </c>
      <c r="H152" s="1927"/>
      <c r="I152" s="1804"/>
      <c r="J152" s="1838"/>
      <c r="K152" s="1843"/>
      <c r="L152" s="1927" t="s">
        <v>325</v>
      </c>
      <c r="M152"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99"/>
      <c r="O152" s="1689"/>
      <c r="P152" s="1689"/>
      <c r="AH152" s="1696">
        <v>0</v>
      </c>
    </row>
    <row s="4921" customFormat="1" customHeight="1" ht="18.75" hidden="1">
      <c r="A153" s="1845"/>
      <c r="B153" s="1845"/>
      <c r="C153" s="434" t="s">
        <v>1177</v>
      </c>
      <c r="D153" s="2527"/>
      <c r="E153" s="2269"/>
      <c r="F153" s="2448"/>
      <c r="G153" s="2492"/>
      <c r="H153" s="1565"/>
      <c r="I153" s="716" t="s">
        <v>1176</v>
      </c>
      <c r="J153" s="636"/>
      <c r="K153" s="1565"/>
      <c r="L153" s="279"/>
      <c r="M153" s="2235"/>
      <c r="N153" s="399"/>
      <c r="O153" s="1689"/>
      <c r="P153" s="1689"/>
      <c r="AH153" s="1696">
        <v>0</v>
      </c>
    </row>
    <row s="4921" customFormat="1" customHeight="1" ht="0.75" hidden="1">
      <c r="A154" s="1845"/>
      <c r="B154" s="1845"/>
      <c r="C154" s="434" t="s">
        <v>1184</v>
      </c>
      <c r="D154" s="2527"/>
      <c r="E154" s="2269"/>
      <c r="F154" s="2448"/>
      <c r="G154" s="465"/>
      <c r="H154" s="1565"/>
      <c r="I154" s="716"/>
      <c r="J154" s="636"/>
      <c r="K154" s="1565"/>
      <c r="L154" s="279"/>
      <c r="M154" s="2235"/>
      <c r="N154" s="399"/>
      <c r="O154" s="1689"/>
      <c r="P154" s="1689"/>
      <c r="AH154" s="1696">
        <v>0</v>
      </c>
    </row>
    <row s="4921" customFormat="1" customHeight="1" ht="45" hidden="1">
      <c r="A155" s="1845" t="s">
        <v>172</v>
      </c>
      <c r="B155" s="1845" t="s">
        <v>173</v>
      </c>
      <c r="C155" s="434"/>
      <c r="D155" s="2527"/>
      <c r="E155" s="2269"/>
      <c r="F155" s="2448"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92" t="str">
        <f>INDEX(PT_DIFFERENTIATION_NTAR,MATCH(B155,PT_DIFFERENTIATION_NTAR_ID,0))</f>
        <v>Тариф для потребителей, подключенных к тепловым сетям
</v>
      </c>
      <c r="H155" s="1927"/>
      <c r="I155" s="1804"/>
      <c r="J155" s="1838"/>
      <c r="K155" s="1843"/>
      <c r="L155" s="1927" t="s">
        <v>325</v>
      </c>
      <c r="M155" s="2236"/>
      <c r="N155" s="399"/>
      <c r="O155" s="1689"/>
      <c r="P155" s="1689"/>
      <c r="AH155" s="1696">
        <v>0</v>
      </c>
    </row>
    <row s="4921" customFormat="1" customHeight="1" ht="18.75" hidden="1">
      <c r="A156" s="1845"/>
      <c r="B156" s="1845"/>
      <c r="C156" s="434" t="s">
        <v>1177</v>
      </c>
      <c r="D156" s="2527"/>
      <c r="E156" s="2269"/>
      <c r="F156" s="2448"/>
      <c r="G156" s="2492"/>
      <c r="H156" s="1565"/>
      <c r="I156" s="716" t="s">
        <v>1176</v>
      </c>
      <c r="J156" s="636"/>
      <c r="K156" s="1565"/>
      <c r="L156" s="279"/>
      <c r="M156" s="1926"/>
      <c r="N156" s="399"/>
      <c r="O156" s="1689"/>
      <c r="P156" s="1689"/>
      <c r="AH156" s="1696">
        <v>0</v>
      </c>
    </row>
    <row s="4921" customFormat="1" customHeight="1" ht="0.75" hidden="1">
      <c r="A157" s="1845"/>
      <c r="B157" s="1845"/>
      <c r="C157" s="434" t="s">
        <v>1184</v>
      </c>
      <c r="D157" s="2527"/>
      <c r="E157" s="2269"/>
      <c r="F157" s="2448"/>
      <c r="G157" s="465"/>
      <c r="H157" s="1565"/>
      <c r="I157" s="716"/>
      <c r="J157" s="636"/>
      <c r="K157" s="1565"/>
      <c r="L157" s="279"/>
      <c r="M157" s="406"/>
      <c r="N157" s="399"/>
      <c r="O157" s="1689"/>
      <c r="P157" s="1689"/>
      <c r="AH157" s="1696">
        <v>0</v>
      </c>
    </row>
    <row s="4921" customFormat="1" customHeight="1" ht="45" hidden="1">
      <c r="A158" s="1845" t="s">
        <v>180</v>
      </c>
      <c r="B158" s="1845" t="s">
        <v>181</v>
      </c>
      <c r="C158" s="434"/>
      <c r="D158" s="2527"/>
      <c r="E158" s="2269"/>
      <c r="F158" s="2448"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92" t="str">
        <f>INDEX(PT_DIFFERENTIATION_NTAR,MATCH(B158,PT_DIFFERENTIATION_NTAR_ID,0))</f>
        <v>Тариф на теплоноситель, поставляемый потребителям
</v>
      </c>
      <c r="H158" s="1927"/>
      <c r="I158" s="1804"/>
      <c r="J158" s="1838"/>
      <c r="K158" s="1843"/>
      <c r="L158" s="1927" t="s">
        <v>325</v>
      </c>
      <c r="M158" s="406"/>
      <c r="N158" s="399"/>
      <c r="O158" s="1689"/>
      <c r="P158" s="1689"/>
      <c r="AH158" s="1696">
        <v>0</v>
      </c>
    </row>
    <row s="4921" customFormat="1" customHeight="1" ht="18.75" hidden="1">
      <c r="A159" s="1845"/>
      <c r="B159" s="1845"/>
      <c r="C159" s="434" t="s">
        <v>1177</v>
      </c>
      <c r="D159" s="2527"/>
      <c r="E159" s="2269"/>
      <c r="F159" s="2448"/>
      <c r="G159" s="2492"/>
      <c r="H159" s="1565"/>
      <c r="I159" s="716" t="s">
        <v>1176</v>
      </c>
      <c r="J159" s="636"/>
      <c r="K159" s="1565"/>
      <c r="L159" s="279"/>
      <c r="M159" s="406"/>
      <c r="N159" s="399"/>
      <c r="O159" s="1689"/>
      <c r="P159" s="1689"/>
      <c r="AH159" s="1696">
        <v>0</v>
      </c>
    </row>
    <row s="4921" customFormat="1" customHeight="1" ht="0.75" hidden="1">
      <c r="A160" s="1845"/>
      <c r="B160" s="1845"/>
      <c r="C160" s="434" t="s">
        <v>1184</v>
      </c>
      <c r="D160" s="2527"/>
      <c r="E160" s="2269"/>
      <c r="F160" s="2448"/>
      <c r="G160" s="465"/>
      <c r="H160" s="1565"/>
      <c r="I160" s="716"/>
      <c r="J160" s="636"/>
      <c r="K160" s="1565"/>
      <c r="L160" s="279"/>
      <c r="M160" s="406"/>
      <c r="N160" s="399"/>
      <c r="O160" s="1689"/>
      <c r="P160" s="1689"/>
      <c r="AH160" s="1696">
        <v>0</v>
      </c>
    </row>
    <row s="4921" customFormat="1" customHeight="1" ht="45" hidden="1">
      <c r="A161" s="1845" t="s">
        <v>188</v>
      </c>
      <c r="B161" s="1845" t="s">
        <v>189</v>
      </c>
      <c r="C161" s="434"/>
      <c r="D161" s="2527"/>
      <c r="E161" s="2269"/>
      <c r="F161" s="2448"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92" t="str">
        <f>INDEX(PT_DIFFERENTIATION_NTAR,MATCH(B161,PT_DIFFERENTIATION_NTAR_ID,0))</f>
        <v>Тариф на горячую воду, поставляемую потребителям с коллекторов</v>
      </c>
      <c r="H161" s="1927"/>
      <c r="I161" s="1804"/>
      <c r="J161" s="1838"/>
      <c r="K161" s="1843"/>
      <c r="L161" s="1927" t="s">
        <v>325</v>
      </c>
      <c r="M161" s="406"/>
      <c r="N161" s="399"/>
      <c r="O161" s="1689"/>
      <c r="P161" s="1689"/>
      <c r="AH161" s="1696">
        <v>0</v>
      </c>
    </row>
    <row s="4921" customFormat="1" customHeight="1" ht="18.75" hidden="1">
      <c r="A162" s="1845"/>
      <c r="B162" s="1845"/>
      <c r="C162" s="434" t="s">
        <v>1177</v>
      </c>
      <c r="D162" s="2527"/>
      <c r="E162" s="2269"/>
      <c r="F162" s="2448"/>
      <c r="G162" s="2492"/>
      <c r="H162" s="1565"/>
      <c r="I162" s="716" t="s">
        <v>1176</v>
      </c>
      <c r="J162" s="636"/>
      <c r="K162" s="1565"/>
      <c r="L162" s="279"/>
      <c r="M162" s="406"/>
      <c r="N162" s="399"/>
      <c r="O162" s="1689"/>
      <c r="P162" s="1689"/>
      <c r="AH162" s="1696">
        <v>0</v>
      </c>
    </row>
    <row s="4921" customFormat="1" customHeight="1" ht="18.75">
      <c r="A163" s="3917" t="s">
        <v>188</v>
      </c>
      <c r="B163" s="3917" t="s">
        <v>195</v>
      </c>
      <c r="C163" s="4942"/>
      <c r="D163" s="4943"/>
      <c r="E163" s="4944"/>
      <c r="F163" s="4944"/>
      <c r="G163" s="4945" t="str">
        <f>INDEX(PT_DIFFERENTIATION_NTAR,MATCH(B163,PT_DIFFERENTIATION_NTAR_ID,0))</f>
        <v>Тариф на горячую воду, поставляемую потребителям из тепловых сетей​</v>
      </c>
      <c r="H163" s="4946"/>
      <c r="I163" s="4947"/>
      <c r="J163" s="4948"/>
      <c r="K163" s="4960"/>
      <c r="L163" s="4946" t="s">
        <v>325</v>
      </c>
      <c r="M163" s="4950"/>
      <c r="N163" s="4951"/>
      <c r="O163" s="3927"/>
      <c r="P163" s="3927"/>
      <c r="Q163" s="3928"/>
      <c r="R163" s="3928"/>
      <c r="S163" s="3928"/>
      <c r="T163" s="3928"/>
      <c r="U163" s="3928"/>
      <c r="V163" s="3928"/>
      <c r="W163" s="3928"/>
      <c r="X163" s="3928"/>
      <c r="Y163" s="3928"/>
      <c r="Z163" s="3928"/>
      <c r="AA163" s="3928"/>
      <c r="AB163" s="3928"/>
      <c r="AC163" s="3928"/>
      <c r="AD163" s="3928"/>
      <c r="AE163" s="3928"/>
      <c r="AF163" s="3928"/>
      <c r="AG163" s="3928"/>
      <c r="AH163" s="3928">
        <v>0</v>
      </c>
    </row>
    <row s="4921" customFormat="1" customHeight="1" ht="18.75">
      <c r="A164" s="3917"/>
      <c r="B164" s="3917"/>
      <c r="C164" s="4942" t="s">
        <v>1177</v>
      </c>
      <c r="D164" s="4943"/>
      <c r="E164" s="4944"/>
      <c r="F164" s="4944"/>
      <c r="G164" s="4945"/>
      <c r="H164" s="4966"/>
      <c r="I164" s="4967" t="s">
        <v>1176</v>
      </c>
      <c r="J164" s="4968"/>
      <c r="K164" s="4969"/>
      <c r="L164" s="4970"/>
      <c r="M164" s="4950"/>
      <c r="N164" s="4951"/>
      <c r="O164" s="3927"/>
      <c r="P164" s="3927"/>
      <c r="Q164" s="3928"/>
      <c r="R164" s="3928"/>
      <c r="S164" s="3928"/>
      <c r="T164" s="3928"/>
      <c r="U164" s="3928"/>
      <c r="V164" s="3928"/>
      <c r="W164" s="3928"/>
      <c r="X164" s="3928"/>
      <c r="Y164" s="3928"/>
      <c r="Z164" s="3928"/>
      <c r="AA164" s="3928"/>
      <c r="AB164" s="3928"/>
      <c r="AC164" s="3928"/>
      <c r="AD164" s="3928"/>
      <c r="AE164" s="3928"/>
      <c r="AF164" s="3928"/>
      <c r="AG164" s="3928"/>
      <c r="AH164" s="3928">
        <v>0</v>
      </c>
    </row>
    <row s="4921" customFormat="1" customHeight="1" ht="0.75" hidden="1">
      <c r="A165" s="1845"/>
      <c r="B165" s="1845"/>
      <c r="C165" s="434" t="s">
        <v>1184</v>
      </c>
      <c r="D165" s="2527"/>
      <c r="E165" s="2269"/>
      <c r="F165" s="2448"/>
      <c r="G165" s="465"/>
      <c r="H165" s="1565"/>
      <c r="I165" s="716"/>
      <c r="J165" s="636"/>
      <c r="K165" s="1565"/>
      <c r="L165" s="279"/>
      <c r="M165" s="406"/>
      <c r="N165" s="399"/>
      <c r="O165" s="1689"/>
      <c r="P165" s="1689"/>
      <c r="AH165" s="1696">
        <v>0</v>
      </c>
    </row>
    <row s="4921" customFormat="1" customHeight="1" ht="18.75" hidden="1">
      <c r="A166" s="1845" t="s">
        <v>200</v>
      </c>
      <c r="B166" s="1845" t="s">
        <v>201</v>
      </c>
      <c r="C166" s="434"/>
      <c r="D166" s="2527"/>
      <c r="E166" s="2269"/>
      <c r="F166" s="2448" t="str">
        <f>INDEX(PT_DIFFERENTIATION_VTAR,MATCH(A166,PT_DIFFERENTIATION_VTAR_ID,0))</f>
        <v>Тарифы на услуги по передаче тепловой энергии</v>
      </c>
      <c r="G166" s="2492" t="str">
        <f>INDEX(PT_DIFFERENTIATION_NTAR,MATCH(B166,PT_DIFFERENTIATION_NTAR_ID,0))</f>
        <v/>
      </c>
      <c r="H166" s="1927"/>
      <c r="I166" s="1804"/>
      <c r="J166" s="1838"/>
      <c r="K166" s="1843"/>
      <c r="L166" s="1927" t="s">
        <v>325</v>
      </c>
      <c r="M166" s="406"/>
      <c r="N166" s="399"/>
      <c r="O166" s="1689"/>
      <c r="P166" s="1689"/>
      <c r="AH166" s="1696">
        <v>0</v>
      </c>
    </row>
    <row s="4921" customFormat="1" customHeight="1" ht="18.75" hidden="1">
      <c r="A167" s="1845"/>
      <c r="B167" s="1845"/>
      <c r="C167" s="434" t="s">
        <v>1177</v>
      </c>
      <c r="D167" s="2527"/>
      <c r="E167" s="2269"/>
      <c r="F167" s="2448"/>
      <c r="G167" s="2492"/>
      <c r="H167" s="1565"/>
      <c r="I167" s="716" t="s">
        <v>1176</v>
      </c>
      <c r="J167" s="636"/>
      <c r="K167" s="1565"/>
      <c r="L167" s="279"/>
      <c r="M167" s="406"/>
      <c r="N167" s="399"/>
      <c r="O167" s="1689"/>
      <c r="P167" s="1689"/>
      <c r="AH167" s="1696">
        <v>0</v>
      </c>
    </row>
    <row s="4921" customFormat="1" customHeight="1" ht="0.75" hidden="1">
      <c r="A168" s="1845"/>
      <c r="B168" s="1845"/>
      <c r="C168" s="434" t="s">
        <v>1184</v>
      </c>
      <c r="D168" s="2527"/>
      <c r="E168" s="2269"/>
      <c r="F168" s="2448"/>
      <c r="G168" s="465"/>
      <c r="H168" s="1565"/>
      <c r="I168" s="716"/>
      <c r="J168" s="636"/>
      <c r="K168" s="1565"/>
      <c r="L168" s="279"/>
      <c r="M168" s="406"/>
      <c r="N168" s="399"/>
      <c r="O168" s="1689"/>
      <c r="P168" s="1689"/>
      <c r="AH168" s="1696">
        <v>0</v>
      </c>
    </row>
    <row s="4921" customFormat="1" customHeight="1" ht="18.75" hidden="1">
      <c r="A169" s="1845" t="s">
        <v>206</v>
      </c>
      <c r="B169" s="1845" t="s">
        <v>207</v>
      </c>
      <c r="C169" s="434"/>
      <c r="D169" s="2527"/>
      <c r="E169" s="2269"/>
      <c r="F169" s="2448" t="str">
        <f>INDEX(PT_DIFFERENTIATION_VTAR,MATCH(A169,PT_DIFFERENTIATION_VTAR_ID,0))</f>
        <v>Тарифы на услуги по передаче теплоносителя</v>
      </c>
      <c r="G169" s="2492" t="str">
        <f>INDEX(PT_DIFFERENTIATION_NTAR,MATCH(B169,PT_DIFFERENTIATION_NTAR_ID,0))</f>
        <v/>
      </c>
      <c r="H169" s="1927"/>
      <c r="I169" s="1804"/>
      <c r="J169" s="1838"/>
      <c r="K169" s="1843"/>
      <c r="L169" s="1927" t="s">
        <v>325</v>
      </c>
      <c r="M169" s="406"/>
      <c r="N169" s="399"/>
      <c r="O169" s="1689"/>
      <c r="P169" s="1689"/>
      <c r="AH169" s="1696">
        <v>0</v>
      </c>
    </row>
    <row s="4921" customFormat="1" customHeight="1" ht="18.75" hidden="1">
      <c r="A170" s="1845"/>
      <c r="B170" s="1845"/>
      <c r="C170" s="434" t="s">
        <v>1177</v>
      </c>
      <c r="D170" s="2527"/>
      <c r="E170" s="2269"/>
      <c r="F170" s="2448"/>
      <c r="G170" s="2492"/>
      <c r="H170" s="1565"/>
      <c r="I170" s="716" t="s">
        <v>1176</v>
      </c>
      <c r="J170" s="636"/>
      <c r="K170" s="1565"/>
      <c r="L170" s="279"/>
      <c r="M170" s="406"/>
      <c r="N170" s="399"/>
      <c r="O170" s="1689"/>
      <c r="P170" s="1689"/>
      <c r="AH170" s="1696">
        <v>0</v>
      </c>
    </row>
    <row s="4921" customFormat="1" customHeight="1" ht="0.75" hidden="1">
      <c r="A171" s="1845"/>
      <c r="B171" s="1845"/>
      <c r="C171" s="434" t="s">
        <v>1184</v>
      </c>
      <c r="D171" s="2527"/>
      <c r="E171" s="2269"/>
      <c r="F171" s="2448"/>
      <c r="G171" s="465"/>
      <c r="H171" s="1565"/>
      <c r="I171" s="716"/>
      <c r="J171" s="636"/>
      <c r="K171" s="1565"/>
      <c r="L171" s="279"/>
      <c r="M171" s="406"/>
      <c r="N171" s="399"/>
      <c r="O171" s="1689"/>
      <c r="P171" s="1689"/>
      <c r="AH171" s="1696">
        <v>0</v>
      </c>
    </row>
    <row s="4921" customFormat="1" customHeight="1" ht="18.75" hidden="1">
      <c r="A172" s="1845" t="s">
        <v>212</v>
      </c>
      <c r="B172" s="1845" t="s">
        <v>213</v>
      </c>
      <c r="C172" s="434"/>
      <c r="D172" s="2527"/>
      <c r="E172" s="2269"/>
      <c r="F172" s="2448"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92" t="str">
        <f>INDEX(PT_DIFFERENTIATION_NTAR,MATCH(B172,PT_DIFFERENTIATION_NTAR_ID,0))</f>
        <v/>
      </c>
      <c r="H172" s="1927"/>
      <c r="I172" s="1804"/>
      <c r="J172" s="1838"/>
      <c r="K172" s="1843"/>
      <c r="L172" s="1927" t="s">
        <v>325</v>
      </c>
      <c r="M172" s="406"/>
      <c r="N172" s="399"/>
      <c r="O172" s="1689"/>
      <c r="P172" s="1689"/>
      <c r="AH172" s="1696">
        <v>0</v>
      </c>
    </row>
    <row s="4921" customFormat="1" customHeight="1" ht="18.75" hidden="1">
      <c r="A173" s="1845"/>
      <c r="B173" s="1845"/>
      <c r="C173" s="434" t="s">
        <v>1177</v>
      </c>
      <c r="D173" s="2527"/>
      <c r="E173" s="2269"/>
      <c r="F173" s="2448"/>
      <c r="G173" s="2492"/>
      <c r="H173" s="1565"/>
      <c r="I173" s="716" t="s">
        <v>1176</v>
      </c>
      <c r="J173" s="636"/>
      <c r="K173" s="1565"/>
      <c r="L173" s="279"/>
      <c r="M173" s="406"/>
      <c r="N173" s="399"/>
      <c r="O173" s="1689"/>
      <c r="P173" s="1689"/>
      <c r="AH173" s="1696">
        <v>0</v>
      </c>
    </row>
    <row s="4921" customFormat="1" customHeight="1" ht="0.75" hidden="1">
      <c r="A174" s="1845"/>
      <c r="B174" s="1845"/>
      <c r="C174" s="434" t="s">
        <v>1184</v>
      </c>
      <c r="D174" s="2527"/>
      <c r="E174" s="2269"/>
      <c r="F174" s="2448"/>
      <c r="G174" s="465"/>
      <c r="H174" s="1565"/>
      <c r="I174" s="716"/>
      <c r="J174" s="636"/>
      <c r="K174" s="1565"/>
      <c r="L174" s="279"/>
      <c r="M174" s="406"/>
      <c r="N174" s="399"/>
      <c r="O174" s="1689"/>
      <c r="P174" s="1689"/>
      <c r="AH174" s="1696">
        <v>0</v>
      </c>
    </row>
    <row s="4921" customFormat="1" customHeight="1" ht="18.75" hidden="1">
      <c r="A175" s="1845" t="s">
        <v>218</v>
      </c>
      <c r="B175" s="1845" t="s">
        <v>219</v>
      </c>
      <c r="C175" s="434"/>
      <c r="D175" s="2527"/>
      <c r="E175" s="2269"/>
      <c r="F175" s="2448" t="str">
        <f>INDEX(PT_DIFFERENTIATION_VTAR,MATCH(A175,PT_DIFFERENTIATION_VTAR_ID,0))</f>
        <v>Плата за подключение (технологическое присоединение) к системе теплоснабжения</v>
      </c>
      <c r="G175" s="2492" t="str">
        <f>INDEX(PT_DIFFERENTIATION_NTAR,MATCH(B175,PT_DIFFERENTIATION_NTAR_ID,0))</f>
        <v/>
      </c>
      <c r="H175" s="1927"/>
      <c r="I175" s="1804"/>
      <c r="J175" s="1838"/>
      <c r="K175" s="1843"/>
      <c r="L175" s="1927" t="s">
        <v>325</v>
      </c>
      <c r="M175" s="406"/>
      <c r="N175" s="399"/>
      <c r="O175" s="1689"/>
      <c r="P175" s="1689"/>
      <c r="AH175" s="1696">
        <v>0</v>
      </c>
    </row>
    <row s="4921" customFormat="1" customHeight="1" ht="18.75" hidden="1">
      <c r="A176" s="1845"/>
      <c r="B176" s="1845"/>
      <c r="C176" s="434" t="s">
        <v>1177</v>
      </c>
      <c r="D176" s="2527"/>
      <c r="E176" s="2269"/>
      <c r="F176" s="2448"/>
      <c r="G176" s="2492"/>
      <c r="H176" s="1565"/>
      <c r="I176" s="716" t="s">
        <v>1176</v>
      </c>
      <c r="J176" s="636"/>
      <c r="K176" s="1565"/>
      <c r="L176" s="279"/>
      <c r="M176" s="406"/>
      <c r="N176" s="399"/>
      <c r="O176" s="1689"/>
      <c r="P176" s="1689"/>
      <c r="AH176" s="1696">
        <v>0</v>
      </c>
    </row>
    <row s="4921" customFormat="1" customHeight="1" ht="0.75" hidden="1">
      <c r="A177" s="1845"/>
      <c r="B177" s="1845"/>
      <c r="C177" s="434" t="s">
        <v>1184</v>
      </c>
      <c r="D177" s="2527"/>
      <c r="E177" s="2269"/>
      <c r="F177" s="2448"/>
      <c r="G177" s="465"/>
      <c r="H177" s="1565"/>
      <c r="I177" s="716"/>
      <c r="J177" s="636"/>
      <c r="K177" s="1565"/>
      <c r="L177" s="279"/>
      <c r="M177" s="406"/>
      <c r="N177" s="399"/>
      <c r="O177" s="1689"/>
      <c r="P177" s="1689"/>
      <c r="AH177" s="1696">
        <v>0</v>
      </c>
    </row>
    <row s="4921" customFormat="1" customHeight="1" ht="18.75" hidden="1">
      <c r="A178" s="1845" t="s">
        <v>224</v>
      </c>
      <c r="B178" s="1845" t="s">
        <v>225</v>
      </c>
      <c r="C178" s="434"/>
      <c r="D178" s="2527"/>
      <c r="E178" s="2269"/>
      <c r="F178" s="2448" t="str">
        <f>INDEX(PT_DIFFERENTIATION_VTAR,MATCH(A178,PT_DIFFERENTIATION_VTAR_ID,0))</f>
        <v>Плата за подключение (технологическое присоединение) к системе теплоснабжения (индивидуальная)</v>
      </c>
      <c r="G178" s="2492" t="str">
        <f>INDEX(PT_DIFFERENTIATION_NTAR,MATCH(B178,PT_DIFFERENTIATION_NTAR_ID,0))</f>
        <v/>
      </c>
      <c r="H178" s="2054"/>
      <c r="I178" s="1804"/>
      <c r="J178" s="1838"/>
      <c r="K178" s="1843"/>
      <c r="L178" s="2054" t="s">
        <v>325</v>
      </c>
      <c r="M178" s="406"/>
      <c r="N178" s="399"/>
      <c r="O178" s="1689"/>
      <c r="P178" s="1689"/>
      <c r="AH178" s="1696">
        <v>0</v>
      </c>
    </row>
    <row s="4921" customFormat="1" customHeight="1" ht="18.75" hidden="1">
      <c r="A179" s="1845"/>
      <c r="B179" s="1845"/>
      <c r="C179" s="434" t="s">
        <v>1177</v>
      </c>
      <c r="D179" s="2527"/>
      <c r="E179" s="2269"/>
      <c r="F179" s="2448"/>
      <c r="G179" s="2492"/>
      <c r="H179" s="1565"/>
      <c r="I179" s="716" t="s">
        <v>1176</v>
      </c>
      <c r="J179" s="636"/>
      <c r="K179" s="1565"/>
      <c r="L179" s="279"/>
      <c r="M179" s="406"/>
      <c r="N179" s="399"/>
      <c r="O179" s="1689"/>
      <c r="P179" s="1689"/>
      <c r="AH179" s="1696">
        <v>0</v>
      </c>
    </row>
    <row s="4921" customFormat="1" customHeight="1" ht="0.75" hidden="1">
      <c r="A180" s="1845"/>
      <c r="B180" s="1845"/>
      <c r="C180" s="434" t="s">
        <v>1184</v>
      </c>
      <c r="D180" s="2527"/>
      <c r="E180" s="2269"/>
      <c r="F180" s="2448"/>
      <c r="G180" s="465"/>
      <c r="H180" s="1565"/>
      <c r="I180" s="716"/>
      <c r="J180" s="636"/>
      <c r="K180" s="1565"/>
      <c r="L180" s="279"/>
      <c r="M180" s="406"/>
      <c r="N180" s="399"/>
      <c r="O180" s="1689"/>
      <c r="P180" s="1689"/>
      <c r="AH180" s="1696">
        <v>0</v>
      </c>
    </row>
    <row s="4921" customFormat="1" customHeight="1" ht="18.75" hidden="1">
      <c r="A181" s="1845" t="s">
        <v>244</v>
      </c>
      <c r="B181" s="1845" t="s">
        <v>245</v>
      </c>
      <c r="C181" s="434"/>
      <c r="D181" s="2527"/>
      <c r="E181" s="2269"/>
      <c r="F181" s="2448" t="str">
        <f>INDEX(PT_DIFFERENTIATION_VTAR,MATCH(A181,PT_DIFFERENTIATION_VTAR_ID,0))</f>
        <v>Тариф на питьевую воду (питьевое водоснабжение)</v>
      </c>
      <c r="G181" s="2492" t="str">
        <f>INDEX(PT_DIFFERENTIATION_NTAR,MATCH(B181,PT_DIFFERENTIATION_NTAR_ID,0))</f>
        <v/>
      </c>
      <c r="H181" s="1927"/>
      <c r="I181" s="1804"/>
      <c r="J181" s="1838"/>
      <c r="K181" s="1843"/>
      <c r="L181" s="1927" t="s">
        <v>325</v>
      </c>
      <c r="M181" s="406"/>
      <c r="N181" s="399"/>
      <c r="O181" s="1689"/>
      <c r="P181" s="1689"/>
      <c r="AH181" s="1696">
        <v>0</v>
      </c>
    </row>
    <row s="4921" customFormat="1" customHeight="1" ht="18.75" hidden="1">
      <c r="A182" s="1845"/>
      <c r="B182" s="1845"/>
      <c r="C182" s="434" t="s">
        <v>1177</v>
      </c>
      <c r="D182" s="2527"/>
      <c r="E182" s="2269"/>
      <c r="F182" s="2448"/>
      <c r="G182" s="2492"/>
      <c r="H182" s="1565"/>
      <c r="I182" s="716" t="s">
        <v>1176</v>
      </c>
      <c r="J182" s="636"/>
      <c r="K182" s="1565"/>
      <c r="L182" s="279"/>
      <c r="M182" s="406"/>
      <c r="N182" s="399"/>
      <c r="O182" s="1689"/>
      <c r="P182" s="1689"/>
      <c r="AH182" s="1696">
        <v>0</v>
      </c>
    </row>
    <row s="4921" customFormat="1" customHeight="1" ht="0.75" hidden="1">
      <c r="A183" s="1845"/>
      <c r="B183" s="1845"/>
      <c r="C183" s="434" t="s">
        <v>1184</v>
      </c>
      <c r="D183" s="2527"/>
      <c r="E183" s="2269"/>
      <c r="F183" s="2448"/>
      <c r="G183" s="465"/>
      <c r="H183" s="1565"/>
      <c r="I183" s="716"/>
      <c r="J183" s="636"/>
      <c r="K183" s="1565"/>
      <c r="L183" s="279"/>
      <c r="M183" s="406"/>
      <c r="N183" s="399"/>
      <c r="O183" s="1689"/>
      <c r="P183" s="1689"/>
      <c r="AH183" s="1696">
        <v>0</v>
      </c>
    </row>
    <row s="4921" customFormat="1" customHeight="1" ht="18.75" hidden="1">
      <c r="A184" s="1845" t="s">
        <v>249</v>
      </c>
      <c r="B184" s="1845" t="s">
        <v>250</v>
      </c>
      <c r="C184" s="434"/>
      <c r="D184" s="2527"/>
      <c r="E184" s="2269"/>
      <c r="F184" s="2448" t="str">
        <f>INDEX(PT_DIFFERENTIATION_VTAR,MATCH(A184,PT_DIFFERENTIATION_VTAR_ID,0))</f>
        <v>Тариф на техническую воду</v>
      </c>
      <c r="G184" s="2492" t="str">
        <f>INDEX(PT_DIFFERENTIATION_NTAR,MATCH(B184,PT_DIFFERENTIATION_NTAR_ID,0))</f>
        <v/>
      </c>
      <c r="H184" s="1927"/>
      <c r="I184" s="1804"/>
      <c r="J184" s="1838"/>
      <c r="K184" s="1843"/>
      <c r="L184" s="1927" t="s">
        <v>325</v>
      </c>
      <c r="M184" s="406"/>
      <c r="N184" s="399"/>
      <c r="O184" s="1689"/>
      <c r="P184" s="1689"/>
      <c r="AH184" s="1696">
        <v>0</v>
      </c>
    </row>
    <row s="4921" customFormat="1" customHeight="1" ht="18.75" hidden="1">
      <c r="A185" s="1845"/>
      <c r="B185" s="1845"/>
      <c r="C185" s="434" t="s">
        <v>1177</v>
      </c>
      <c r="D185" s="2527"/>
      <c r="E185" s="2269"/>
      <c r="F185" s="2448"/>
      <c r="G185" s="2492"/>
      <c r="H185" s="1565"/>
      <c r="I185" s="716" t="s">
        <v>1176</v>
      </c>
      <c r="J185" s="636"/>
      <c r="K185" s="1565"/>
      <c r="L185" s="279"/>
      <c r="M185" s="406"/>
      <c r="N185" s="399"/>
      <c r="O185" s="1689"/>
      <c r="P185" s="1689"/>
      <c r="AH185" s="1696">
        <v>0</v>
      </c>
    </row>
    <row s="4921" customFormat="1" customHeight="1" ht="0.75" hidden="1">
      <c r="A186" s="1845"/>
      <c r="B186" s="1845"/>
      <c r="C186" s="434" t="s">
        <v>1184</v>
      </c>
      <c r="D186" s="2527"/>
      <c r="E186" s="2269"/>
      <c r="F186" s="2448"/>
      <c r="G186" s="465"/>
      <c r="H186" s="1565"/>
      <c r="I186" s="716"/>
      <c r="J186" s="636"/>
      <c r="K186" s="1565"/>
      <c r="L186" s="279"/>
      <c r="M186" s="406"/>
      <c r="N186" s="399"/>
      <c r="O186" s="1689"/>
      <c r="P186" s="1689"/>
      <c r="AH186" s="1696">
        <v>0</v>
      </c>
    </row>
    <row s="4921" customFormat="1" customHeight="1" ht="18.75" hidden="1">
      <c r="A187" s="1845" t="s">
        <v>254</v>
      </c>
      <c r="B187" s="1845" t="s">
        <v>255</v>
      </c>
      <c r="C187" s="434"/>
      <c r="D187" s="2527"/>
      <c r="E187" s="2269"/>
      <c r="F187" s="2448" t="str">
        <f>INDEX(PT_DIFFERENTIATION_VTAR,MATCH(A187,PT_DIFFERENTIATION_VTAR_ID,0))</f>
        <v>Тариф на транспортировку воды</v>
      </c>
      <c r="G187" s="2492" t="str">
        <f>INDEX(PT_DIFFERENTIATION_NTAR,MATCH(B187,PT_DIFFERENTIATION_NTAR_ID,0))</f>
        <v/>
      </c>
      <c r="H187" s="1927"/>
      <c r="I187" s="1804"/>
      <c r="J187" s="1838"/>
      <c r="K187" s="1843"/>
      <c r="L187" s="1927" t="s">
        <v>325</v>
      </c>
      <c r="M187" s="406"/>
      <c r="N187" s="399"/>
      <c r="O187" s="1689"/>
      <c r="P187" s="1689"/>
      <c r="AH187" s="1696">
        <v>0</v>
      </c>
    </row>
    <row s="4921" customFormat="1" customHeight="1" ht="18.75" hidden="1">
      <c r="A188" s="1845"/>
      <c r="B188" s="1845"/>
      <c r="C188" s="434" t="s">
        <v>1177</v>
      </c>
      <c r="D188" s="2527"/>
      <c r="E188" s="2269"/>
      <c r="F188" s="2448"/>
      <c r="G188" s="2492"/>
      <c r="H188" s="1565"/>
      <c r="I188" s="716" t="s">
        <v>1176</v>
      </c>
      <c r="J188" s="636"/>
      <c r="K188" s="1565"/>
      <c r="L188" s="279"/>
      <c r="M188" s="406"/>
      <c r="N188" s="399"/>
      <c r="O188" s="1689"/>
      <c r="P188" s="1689"/>
      <c r="AH188" s="1696">
        <v>0</v>
      </c>
    </row>
    <row s="4921" customFormat="1" customHeight="1" ht="0.75" hidden="1">
      <c r="A189" s="1845"/>
      <c r="B189" s="1845"/>
      <c r="C189" s="434" t="s">
        <v>1184</v>
      </c>
      <c r="D189" s="2527"/>
      <c r="E189" s="2269"/>
      <c r="F189" s="2448"/>
      <c r="G189" s="465"/>
      <c r="H189" s="1565"/>
      <c r="I189" s="716"/>
      <c r="J189" s="636"/>
      <c r="K189" s="1565"/>
      <c r="L189" s="279"/>
      <c r="M189" s="406"/>
      <c r="N189" s="399"/>
      <c r="O189" s="1689"/>
      <c r="P189" s="1689"/>
      <c r="AH189" s="1696">
        <v>0</v>
      </c>
    </row>
    <row s="4921" customFormat="1" customHeight="1" ht="18.75" hidden="1">
      <c r="A190" s="1845" t="s">
        <v>259</v>
      </c>
      <c r="B190" s="1845" t="s">
        <v>260</v>
      </c>
      <c r="C190" s="434"/>
      <c r="D190" s="2527"/>
      <c r="E190" s="2269"/>
      <c r="F190" s="2448" t="str">
        <f>INDEX(PT_DIFFERENTIATION_VTAR,MATCH(A190,PT_DIFFERENTIATION_VTAR_ID,0))</f>
        <v>Тариф на подвоз воды</v>
      </c>
      <c r="G190" s="2492" t="str">
        <f>INDEX(PT_DIFFERENTIATION_NTAR,MATCH(B190,PT_DIFFERENTIATION_NTAR_ID,0))</f>
        <v/>
      </c>
      <c r="H190" s="1927"/>
      <c r="I190" s="1804"/>
      <c r="J190" s="1838"/>
      <c r="K190" s="1843"/>
      <c r="L190" s="1927" t="s">
        <v>325</v>
      </c>
      <c r="M190" s="406"/>
      <c r="N190" s="399"/>
      <c r="O190" s="1689"/>
      <c r="P190" s="1689"/>
      <c r="AH190" s="1696">
        <v>0</v>
      </c>
    </row>
    <row s="4921" customFormat="1" customHeight="1" ht="18.75" hidden="1">
      <c r="A191" s="1845"/>
      <c r="B191" s="1845"/>
      <c r="C191" s="434" t="s">
        <v>1177</v>
      </c>
      <c r="D191" s="2527"/>
      <c r="E191" s="2269"/>
      <c r="F191" s="2448"/>
      <c r="G191" s="2492"/>
      <c r="H191" s="1565"/>
      <c r="I191" s="716" t="s">
        <v>1176</v>
      </c>
      <c r="J191" s="636"/>
      <c r="K191" s="1565"/>
      <c r="L191" s="279"/>
      <c r="M191" s="406"/>
      <c r="N191" s="399"/>
      <c r="O191" s="1689"/>
      <c r="P191" s="1689"/>
      <c r="AH191" s="1696">
        <v>0</v>
      </c>
    </row>
    <row s="4921" customFormat="1" customHeight="1" ht="0.75" hidden="1">
      <c r="A192" s="1845"/>
      <c r="B192" s="1845"/>
      <c r="C192" s="434" t="s">
        <v>1184</v>
      </c>
      <c r="D192" s="2527"/>
      <c r="E192" s="2269"/>
      <c r="F192" s="2448"/>
      <c r="G192" s="465"/>
      <c r="H192" s="1565"/>
      <c r="I192" s="716"/>
      <c r="J192" s="636"/>
      <c r="K192" s="1565"/>
      <c r="L192" s="279"/>
      <c r="M192" s="406"/>
      <c r="N192" s="399"/>
      <c r="O192" s="1689"/>
      <c r="P192" s="1689"/>
      <c r="AH192" s="1696">
        <v>0</v>
      </c>
    </row>
    <row s="4921" customFormat="1" customHeight="1" ht="18.75" hidden="1">
      <c r="A193" s="1845" t="s">
        <v>264</v>
      </c>
      <c r="B193" s="1845" t="s">
        <v>265</v>
      </c>
      <c r="C193" s="434"/>
      <c r="D193" s="2527"/>
      <c r="E193" s="2269"/>
      <c r="F193" s="2448"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2" t="str">
        <f>INDEX(PT_DIFFERENTIATION_NTAR,MATCH(B193,PT_DIFFERENTIATION_NTAR_ID,0))</f>
        <v/>
      </c>
      <c r="H193" s="1927"/>
      <c r="I193" s="1804"/>
      <c r="J193" s="1838"/>
      <c r="K193" s="1843"/>
      <c r="L193" s="1927" t="s">
        <v>325</v>
      </c>
      <c r="M193" s="406"/>
      <c r="N193" s="399"/>
      <c r="O193" s="1689"/>
      <c r="P193" s="1689"/>
      <c r="AH193" s="1696">
        <v>0</v>
      </c>
    </row>
    <row s="4921" customFormat="1" customHeight="1" ht="18.75" hidden="1">
      <c r="A194" s="1845"/>
      <c r="B194" s="1845"/>
      <c r="C194" s="434" t="s">
        <v>1177</v>
      </c>
      <c r="D194" s="2527"/>
      <c r="E194" s="2269"/>
      <c r="F194" s="2448"/>
      <c r="G194" s="2492"/>
      <c r="H194" s="1565"/>
      <c r="I194" s="716" t="s">
        <v>1176</v>
      </c>
      <c r="J194" s="636"/>
      <c r="K194" s="1565"/>
      <c r="L194" s="279"/>
      <c r="M194" s="406"/>
      <c r="N194" s="399"/>
      <c r="O194" s="1689"/>
      <c r="P194" s="1689"/>
      <c r="AH194" s="1696">
        <v>0</v>
      </c>
    </row>
    <row s="4921" customFormat="1" customHeight="1" ht="0.75" hidden="1">
      <c r="A195" s="1845"/>
      <c r="B195" s="1845"/>
      <c r="C195" s="434" t="s">
        <v>1184</v>
      </c>
      <c r="D195" s="2527"/>
      <c r="E195" s="2269"/>
      <c r="F195" s="2448"/>
      <c r="G195" s="465"/>
      <c r="H195" s="1565"/>
      <c r="I195" s="716"/>
      <c r="J195" s="636"/>
      <c r="K195" s="1565"/>
      <c r="L195" s="279"/>
      <c r="M195" s="406"/>
      <c r="N195" s="399"/>
      <c r="O195" s="1689"/>
      <c r="P195" s="1689"/>
      <c r="AH195" s="1696">
        <v>0</v>
      </c>
    </row>
    <row s="4921" customFormat="1" customHeight="1" ht="18.75" hidden="1">
      <c r="A196" s="1845" t="s">
        <v>269</v>
      </c>
      <c r="B196" s="1845" t="s">
        <v>270</v>
      </c>
      <c r="C196" s="434"/>
      <c r="D196" s="2527"/>
      <c r="E196" s="2269"/>
      <c r="F196" s="2448" t="str">
        <f>INDEX(PT_DIFFERENTIATION_VTAR,MATCH(A196,PT_DIFFERENTIATION_VTAR_ID,0))</f>
        <v>Тариф на горячую воду (горячее водоснабжение)</v>
      </c>
      <c r="G196" s="2492" t="str">
        <f>INDEX(PT_DIFFERENTIATION_NTAR,MATCH(B196,PT_DIFFERENTIATION_NTAR_ID,0))</f>
        <v/>
      </c>
      <c r="H196" s="1927"/>
      <c r="I196" s="1804"/>
      <c r="J196" s="1838"/>
      <c r="K196" s="1843"/>
      <c r="L196" s="1927" t="s">
        <v>325</v>
      </c>
      <c r="M196" s="406"/>
      <c r="N196" s="399"/>
      <c r="O196" s="1689"/>
      <c r="P196" s="1689"/>
      <c r="AH196" s="1696">
        <v>0</v>
      </c>
    </row>
    <row s="4921" customFormat="1" customHeight="1" ht="18.75" hidden="1">
      <c r="A197" s="1845"/>
      <c r="B197" s="1845"/>
      <c r="C197" s="434" t="s">
        <v>1177</v>
      </c>
      <c r="D197" s="2527"/>
      <c r="E197" s="2269"/>
      <c r="F197" s="2448"/>
      <c r="G197" s="2492"/>
      <c r="H197" s="1565"/>
      <c r="I197" s="716" t="s">
        <v>1176</v>
      </c>
      <c r="J197" s="636"/>
      <c r="K197" s="1565"/>
      <c r="L197" s="279"/>
      <c r="M197" s="406"/>
      <c r="N197" s="399"/>
      <c r="O197" s="1689"/>
      <c r="P197" s="1689"/>
      <c r="AH197" s="1696">
        <v>0</v>
      </c>
    </row>
    <row s="4921" customFormat="1" customHeight="1" ht="0.75" hidden="1">
      <c r="A198" s="1845"/>
      <c r="B198" s="1845"/>
      <c r="C198" s="434" t="s">
        <v>1184</v>
      </c>
      <c r="D198" s="2527"/>
      <c r="E198" s="2269"/>
      <c r="F198" s="2448"/>
      <c r="G198" s="465"/>
      <c r="H198" s="1565"/>
      <c r="I198" s="716"/>
      <c r="J198" s="636"/>
      <c r="K198" s="1565"/>
      <c r="L198" s="279"/>
      <c r="M198" s="406"/>
      <c r="N198" s="399"/>
      <c r="O198" s="1689"/>
      <c r="P198" s="1689"/>
      <c r="AH198" s="1696">
        <v>0</v>
      </c>
    </row>
    <row s="4921" customFormat="1" customHeight="1" ht="18.75" hidden="1">
      <c r="A199" s="1845" t="s">
        <v>274</v>
      </c>
      <c r="B199" s="1845" t="s">
        <v>275</v>
      </c>
      <c r="C199" s="434"/>
      <c r="D199" s="2527"/>
      <c r="E199" s="2269"/>
      <c r="F199" s="2448" t="str">
        <f>INDEX(PT_DIFFERENTIATION_VTAR,MATCH(A199,PT_DIFFERENTIATION_VTAR_ID,0))</f>
        <v>Тариф на транспортировку горячей воды</v>
      </c>
      <c r="G199" s="2492" t="str">
        <f>INDEX(PT_DIFFERENTIATION_NTAR,MATCH(B199,PT_DIFFERENTIATION_NTAR_ID,0))</f>
        <v/>
      </c>
      <c r="H199" s="1927"/>
      <c r="I199" s="1804"/>
      <c r="J199" s="1838"/>
      <c r="K199" s="1843"/>
      <c r="L199" s="1927" t="s">
        <v>325</v>
      </c>
      <c r="M199" s="406"/>
      <c r="N199" s="399"/>
      <c r="O199" s="1689"/>
      <c r="P199" s="1689"/>
      <c r="AH199" s="1696">
        <v>0</v>
      </c>
    </row>
    <row s="4921" customFormat="1" customHeight="1" ht="18.75" hidden="1">
      <c r="A200" s="1845"/>
      <c r="B200" s="1845"/>
      <c r="C200" s="434" t="s">
        <v>1177</v>
      </c>
      <c r="D200" s="2527"/>
      <c r="E200" s="2269"/>
      <c r="F200" s="2448"/>
      <c r="G200" s="2492"/>
      <c r="H200" s="1565"/>
      <c r="I200" s="716" t="s">
        <v>1176</v>
      </c>
      <c r="J200" s="636"/>
      <c r="K200" s="1565"/>
      <c r="L200" s="279"/>
      <c r="M200" s="406"/>
      <c r="N200" s="399"/>
      <c r="O200" s="1689"/>
      <c r="P200" s="1689"/>
      <c r="AH200" s="1696">
        <v>0</v>
      </c>
    </row>
    <row s="4921" customFormat="1" customHeight="1" ht="0.75" hidden="1">
      <c r="A201" s="1845"/>
      <c r="B201" s="1845"/>
      <c r="C201" s="434" t="s">
        <v>1184</v>
      </c>
      <c r="D201" s="2527"/>
      <c r="E201" s="2269"/>
      <c r="F201" s="2448"/>
      <c r="G201" s="465"/>
      <c r="H201" s="1565"/>
      <c r="I201" s="716"/>
      <c r="J201" s="636"/>
      <c r="K201" s="1565"/>
      <c r="L201" s="279"/>
      <c r="M201" s="406"/>
      <c r="N201" s="399"/>
      <c r="O201" s="1689"/>
      <c r="P201" s="1689"/>
      <c r="AH201" s="1696">
        <v>0</v>
      </c>
    </row>
    <row s="4921" customFormat="1" customHeight="1" ht="18.75" hidden="1">
      <c r="A202" s="1845" t="s">
        <v>279</v>
      </c>
      <c r="B202" s="1845" t="s">
        <v>280</v>
      </c>
      <c r="C202" s="434"/>
      <c r="D202" s="2527"/>
      <c r="E202" s="2269"/>
      <c r="F202" s="2448"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2" t="str">
        <f>INDEX(PT_DIFFERENTIATION_NTAR,MATCH(B202,PT_DIFFERENTIATION_NTAR_ID,0))</f>
        <v/>
      </c>
      <c r="H202" s="1927"/>
      <c r="I202" s="1804"/>
      <c r="J202" s="1838"/>
      <c r="K202" s="1843"/>
      <c r="L202" s="1927" t="s">
        <v>325</v>
      </c>
      <c r="M202" s="406"/>
      <c r="N202" s="399"/>
      <c r="O202" s="1689"/>
      <c r="P202" s="1689"/>
      <c r="AH202" s="1696">
        <v>0</v>
      </c>
    </row>
    <row s="4921" customFormat="1" customHeight="1" ht="18.75" hidden="1">
      <c r="A203" s="1845"/>
      <c r="B203" s="1845"/>
      <c r="C203" s="434" t="s">
        <v>1177</v>
      </c>
      <c r="D203" s="2527"/>
      <c r="E203" s="2269"/>
      <c r="F203" s="2448"/>
      <c r="G203" s="2492"/>
      <c r="H203" s="1565"/>
      <c r="I203" s="716" t="s">
        <v>1176</v>
      </c>
      <c r="J203" s="636"/>
      <c r="K203" s="1565"/>
      <c r="L203" s="279"/>
      <c r="M203" s="406"/>
      <c r="N203" s="399"/>
      <c r="O203" s="1689"/>
      <c r="P203" s="1689"/>
      <c r="AH203" s="1696">
        <v>0</v>
      </c>
    </row>
    <row s="4921" customFormat="1" customHeight="1" ht="0.75" hidden="1">
      <c r="A204" s="1845"/>
      <c r="B204" s="1845"/>
      <c r="C204" s="434" t="s">
        <v>1184</v>
      </c>
      <c r="D204" s="2527"/>
      <c r="E204" s="2269"/>
      <c r="F204" s="2448"/>
      <c r="G204" s="465"/>
      <c r="H204" s="1565"/>
      <c r="I204" s="716"/>
      <c r="J204" s="636"/>
      <c r="K204" s="1565"/>
      <c r="L204" s="279"/>
      <c r="M204" s="406"/>
      <c r="N204" s="399"/>
      <c r="O204" s="1689"/>
      <c r="P204" s="1689"/>
      <c r="AH204" s="1696">
        <v>0</v>
      </c>
    </row>
    <row s="4921" customFormat="1" customHeight="1" ht="18.75" hidden="1">
      <c r="A205" s="1845" t="s">
        <v>284</v>
      </c>
      <c r="B205" s="1845" t="s">
        <v>285</v>
      </c>
      <c r="C205" s="434"/>
      <c r="D205" s="2527"/>
      <c r="E205" s="2269"/>
      <c r="F205" s="2448" t="str">
        <f>INDEX(PT_DIFFERENTIATION_VTAR,MATCH(A205,PT_DIFFERENTIATION_VTAR_ID,0))</f>
        <v>Тариф на водоотведение</v>
      </c>
      <c r="G205" s="2492" t="str">
        <f>INDEX(PT_DIFFERENTIATION_NTAR,MATCH(B205,PT_DIFFERENTIATION_NTAR_ID,0))</f>
        <v/>
      </c>
      <c r="H205" s="1927"/>
      <c r="I205" s="1804"/>
      <c r="J205" s="1838"/>
      <c r="K205" s="1843"/>
      <c r="L205" s="1927" t="s">
        <v>325</v>
      </c>
      <c r="M205" s="406"/>
      <c r="N205" s="399"/>
      <c r="O205" s="1689"/>
      <c r="P205" s="1689"/>
      <c r="AH205" s="1696">
        <v>0</v>
      </c>
    </row>
    <row s="4921" customFormat="1" customHeight="1" ht="18.75" hidden="1">
      <c r="A206" s="1845"/>
      <c r="B206" s="1845"/>
      <c r="C206" s="434" t="s">
        <v>1177</v>
      </c>
      <c r="D206" s="2527"/>
      <c r="E206" s="2269"/>
      <c r="F206" s="2448"/>
      <c r="G206" s="2492"/>
      <c r="H206" s="1565"/>
      <c r="I206" s="716" t="s">
        <v>1176</v>
      </c>
      <c r="J206" s="636"/>
      <c r="K206" s="1565"/>
      <c r="L206" s="279"/>
      <c r="M206" s="406"/>
      <c r="N206" s="399"/>
      <c r="O206" s="1689"/>
      <c r="P206" s="1689"/>
      <c r="AH206" s="1696">
        <v>0</v>
      </c>
    </row>
    <row s="4921" customFormat="1" customHeight="1" ht="0.75" hidden="1">
      <c r="A207" s="1845"/>
      <c r="B207" s="1845"/>
      <c r="C207" s="434" t="s">
        <v>1184</v>
      </c>
      <c r="D207" s="2527"/>
      <c r="E207" s="2269"/>
      <c r="F207" s="2448"/>
      <c r="G207" s="465"/>
      <c r="H207" s="1565"/>
      <c r="I207" s="716"/>
      <c r="J207" s="636"/>
      <c r="K207" s="1565"/>
      <c r="L207" s="279"/>
      <c r="M207" s="406"/>
      <c r="N207" s="399"/>
      <c r="O207" s="1689"/>
      <c r="P207" s="1689"/>
      <c r="AH207" s="1696">
        <v>0</v>
      </c>
    </row>
    <row s="4921" customFormat="1" customHeight="1" ht="18.75" hidden="1">
      <c r="A208" s="1845" t="s">
        <v>289</v>
      </c>
      <c r="B208" s="1845" t="s">
        <v>290</v>
      </c>
      <c r="C208" s="434"/>
      <c r="D208" s="2527"/>
      <c r="E208" s="2269"/>
      <c r="F208" s="2448" t="str">
        <f>INDEX(PT_DIFFERENTIATION_VTAR,MATCH(A208,PT_DIFFERENTIATION_VTAR_ID,0))</f>
        <v>Тариф на транспортировку сточных вод</v>
      </c>
      <c r="G208" s="2492" t="str">
        <f>INDEX(PT_DIFFERENTIATION_NTAR,MATCH(B208,PT_DIFFERENTIATION_NTAR_ID,0))</f>
        <v/>
      </c>
      <c r="H208" s="1927"/>
      <c r="I208" s="1804"/>
      <c r="J208" s="1838"/>
      <c r="K208" s="1843"/>
      <c r="L208" s="1927" t="s">
        <v>325</v>
      </c>
      <c r="M208" s="406"/>
      <c r="N208" s="399"/>
      <c r="O208" s="1689"/>
      <c r="P208" s="1689"/>
      <c r="AH208" s="1696">
        <v>0</v>
      </c>
    </row>
    <row s="4921" customFormat="1" customHeight="1" ht="18.75" hidden="1">
      <c r="A209" s="1845"/>
      <c r="B209" s="1845"/>
      <c r="C209" s="434" t="s">
        <v>1177</v>
      </c>
      <c r="D209" s="2527"/>
      <c r="E209" s="2269"/>
      <c r="F209" s="2448"/>
      <c r="G209" s="2492"/>
      <c r="H209" s="1565"/>
      <c r="I209" s="716" t="s">
        <v>1176</v>
      </c>
      <c r="J209" s="636"/>
      <c r="K209" s="1565"/>
      <c r="L209" s="279"/>
      <c r="M209" s="406"/>
      <c r="N209" s="399"/>
      <c r="O209" s="1689"/>
      <c r="P209" s="1689"/>
      <c r="AH209" s="1696">
        <v>0</v>
      </c>
    </row>
    <row s="4921" customFormat="1" customHeight="1" ht="0.75" hidden="1">
      <c r="A210" s="1845"/>
      <c r="B210" s="1845"/>
      <c r="C210" s="434" t="s">
        <v>1184</v>
      </c>
      <c r="D210" s="2527"/>
      <c r="E210" s="2269"/>
      <c r="F210" s="2448"/>
      <c r="G210" s="465"/>
      <c r="H210" s="1565"/>
      <c r="I210" s="716"/>
      <c r="J210" s="636"/>
      <c r="K210" s="1565"/>
      <c r="L210" s="279"/>
      <c r="M210" s="406"/>
      <c r="N210" s="399"/>
      <c r="O210" s="1689"/>
      <c r="P210" s="1689"/>
      <c r="AH210" s="1696">
        <v>0</v>
      </c>
    </row>
    <row s="4921" customFormat="1" customHeight="1" ht="18.75" hidden="1">
      <c r="A211" s="1845" t="s">
        <v>294</v>
      </c>
      <c r="B211" s="1845" t="s">
        <v>295</v>
      </c>
      <c r="C211" s="434"/>
      <c r="D211" s="2527"/>
      <c r="E211" s="2269"/>
      <c r="F211" s="2448" t="str">
        <f>INDEX(PT_DIFFERENTIATION_VTAR,MATCH(A211,PT_DIFFERENTIATION_VTAR_ID,0))</f>
        <v>Тариф на подключение (технологическое присоединение) к централизованной системе водоотведения</v>
      </c>
      <c r="G211" s="2492" t="str">
        <f>INDEX(PT_DIFFERENTIATION_NTAR,MATCH(B211,PT_DIFFERENTIATION_NTAR_ID,0))</f>
        <v/>
      </c>
      <c r="H211" s="1927"/>
      <c r="I211" s="1804"/>
      <c r="J211" s="1838"/>
      <c r="K211" s="1843"/>
      <c r="L211" s="1927" t="s">
        <v>325</v>
      </c>
      <c r="M211" s="406"/>
      <c r="N211" s="399"/>
      <c r="O211" s="1689"/>
      <c r="P211" s="1689"/>
      <c r="AH211" s="1696">
        <v>0</v>
      </c>
    </row>
    <row s="4921" customFormat="1" customHeight="1" ht="18.75" hidden="1">
      <c r="A212" s="1845"/>
      <c r="B212" s="1845"/>
      <c r="C212" s="434" t="s">
        <v>1177</v>
      </c>
      <c r="D212" s="2527"/>
      <c r="E212" s="2269"/>
      <c r="F212" s="2448"/>
      <c r="G212" s="2492"/>
      <c r="H212" s="1565"/>
      <c r="I212" s="716" t="s">
        <v>1176</v>
      </c>
      <c r="J212" s="636"/>
      <c r="K212" s="1565"/>
      <c r="L212" s="279"/>
      <c r="M212" s="406"/>
      <c r="N212" s="399"/>
      <c r="O212" s="1689"/>
      <c r="P212" s="1689"/>
      <c r="AH212" s="1696">
        <v>0</v>
      </c>
    </row>
    <row s="4921" customFormat="1" customHeight="1" ht="1.05">
      <c r="A213" s="1845"/>
      <c r="B213" s="1845"/>
      <c r="C213" s="434" t="s">
        <v>1184</v>
      </c>
      <c r="D213" s="2527"/>
      <c r="E213" s="2269"/>
      <c r="F213" s="2448"/>
      <c r="G213" s="465"/>
      <c r="H213" s="1565"/>
      <c r="I213" s="716"/>
      <c r="J213" s="636"/>
      <c r="K213" s="1565"/>
      <c r="L213" s="279"/>
      <c r="M213" s="406"/>
      <c r="N213" s="399"/>
      <c r="O213" s="1689"/>
      <c r="P213" s="1689"/>
      <c r="AH213" s="1696">
        <v>1</v>
      </c>
    </row>
    <row customHeight="1" ht="27.299999999999997">
      <c r="A214" s="1845"/>
      <c r="B214" s="1845"/>
      <c r="D214" s="441"/>
      <c r="E214" s="212" t="s">
        <v>114</v>
      </c>
      <c r="F214"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5"/>
      <c r="H214" s="2525"/>
      <c r="I214" s="2525"/>
      <c r="J214" s="2525"/>
      <c r="K214" s="2525"/>
      <c r="L214" s="2525"/>
      <c r="M214" s="362"/>
      <c r="N214" s="399"/>
      <c r="AH214" s="439">
        <v>26</v>
      </c>
    </row>
    <row s="4921" customFormat="1" customHeight="1" ht="60.75" hidden="1">
      <c r="A215" s="1845" t="s">
        <v>160</v>
      </c>
      <c r="B215" s="1845" t="s">
        <v>161</v>
      </c>
      <c r="C215" s="434"/>
      <c r="D215" s="2527"/>
      <c r="E215" s="2269"/>
      <c r="F215" s="2448"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2" t="str">
        <f>INDEX(PT_DIFFERENTIATION_NTAR,MATCH(B215,PT_DIFFERENTIATION_NTAR_ID,0))</f>
        <v>Тариф на коллекторах источника тепловой энергии</v>
      </c>
      <c r="H215" s="1927"/>
      <c r="I215" s="1804"/>
      <c r="J215" s="1838"/>
      <c r="K215" s="1843"/>
      <c r="L215" s="1927" t="s">
        <v>325</v>
      </c>
      <c r="M215"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99"/>
      <c r="O215" s="1689"/>
      <c r="P215" s="1689"/>
      <c r="AH215" s="1696">
        <v>0</v>
      </c>
    </row>
    <row s="4921" customFormat="1" customHeight="1" ht="18.75" hidden="1">
      <c r="A216" s="1845"/>
      <c r="B216" s="1845"/>
      <c r="C216" s="434" t="s">
        <v>1177</v>
      </c>
      <c r="D216" s="2527"/>
      <c r="E216" s="2269"/>
      <c r="F216" s="2448"/>
      <c r="G216" s="2492"/>
      <c r="H216" s="1565"/>
      <c r="I216" s="716" t="s">
        <v>1176</v>
      </c>
      <c r="J216" s="636"/>
      <c r="K216" s="1565"/>
      <c r="L216" s="279"/>
      <c r="M216" s="2235"/>
      <c r="N216" s="399"/>
      <c r="O216" s="1689"/>
      <c r="P216" s="1689"/>
      <c r="AH216" s="1696">
        <v>0</v>
      </c>
    </row>
    <row s="4921" customFormat="1" customHeight="1" ht="0.75" hidden="1">
      <c r="A217" s="1845"/>
      <c r="B217" s="1845"/>
      <c r="C217" s="434" t="s">
        <v>1184</v>
      </c>
      <c r="D217" s="2527"/>
      <c r="E217" s="2269"/>
      <c r="F217" s="2448"/>
      <c r="G217" s="465"/>
      <c r="H217" s="1565"/>
      <c r="I217" s="716"/>
      <c r="J217" s="636"/>
      <c r="K217" s="1565"/>
      <c r="L217" s="279"/>
      <c r="M217" s="2235"/>
      <c r="N217" s="399"/>
      <c r="O217" s="1689"/>
      <c r="P217" s="1689"/>
      <c r="AH217" s="1696">
        <v>0</v>
      </c>
    </row>
    <row s="4921" customFormat="1" customHeight="1" ht="45" hidden="1">
      <c r="A218" s="1845" t="s">
        <v>172</v>
      </c>
      <c r="B218" s="1845" t="s">
        <v>173</v>
      </c>
      <c r="C218" s="434"/>
      <c r="D218" s="2527"/>
      <c r="E218" s="2269"/>
      <c r="F218" s="2448"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2" t="str">
        <f>INDEX(PT_DIFFERENTIATION_NTAR,MATCH(B218,PT_DIFFERENTIATION_NTAR_ID,0))</f>
        <v>Тариф для потребителей, подключенных к тепловым сетям
</v>
      </c>
      <c r="H218" s="1927"/>
      <c r="I218" s="1804"/>
      <c r="J218" s="1838"/>
      <c r="K218" s="1843"/>
      <c r="L218" s="1927" t="s">
        <v>325</v>
      </c>
      <c r="M218" s="2236"/>
      <c r="N218" s="399"/>
      <c r="O218" s="1689"/>
      <c r="P218" s="1689"/>
      <c r="AH218" s="1696">
        <v>0</v>
      </c>
    </row>
    <row s="4921" customFormat="1" customHeight="1" ht="18.75" hidden="1">
      <c r="A219" s="1845"/>
      <c r="B219" s="1845"/>
      <c r="C219" s="434" t="s">
        <v>1177</v>
      </c>
      <c r="D219" s="2527"/>
      <c r="E219" s="2269"/>
      <c r="F219" s="2448"/>
      <c r="G219" s="2492"/>
      <c r="H219" s="1565"/>
      <c r="I219" s="716" t="s">
        <v>1176</v>
      </c>
      <c r="J219" s="636"/>
      <c r="K219" s="1565"/>
      <c r="L219" s="279"/>
      <c r="M219" s="1926"/>
      <c r="N219" s="399"/>
      <c r="O219" s="1689"/>
      <c r="P219" s="1689"/>
      <c r="AH219" s="1696">
        <v>0</v>
      </c>
    </row>
    <row s="4921" customFormat="1" customHeight="1" ht="0.75" hidden="1">
      <c r="A220" s="1845"/>
      <c r="B220" s="1845"/>
      <c r="C220" s="434" t="s">
        <v>1184</v>
      </c>
      <c r="D220" s="2527"/>
      <c r="E220" s="2269"/>
      <c r="F220" s="2448"/>
      <c r="G220" s="465"/>
      <c r="H220" s="1565"/>
      <c r="I220" s="716"/>
      <c r="J220" s="636"/>
      <c r="K220" s="1565"/>
      <c r="L220" s="279"/>
      <c r="M220" s="406"/>
      <c r="N220" s="399"/>
      <c r="O220" s="1689"/>
      <c r="P220" s="1689"/>
      <c r="AH220" s="1696">
        <v>0</v>
      </c>
    </row>
    <row s="4921" customFormat="1" customHeight="1" ht="45" hidden="1">
      <c r="A221" s="1845" t="s">
        <v>180</v>
      </c>
      <c r="B221" s="1845" t="s">
        <v>181</v>
      </c>
      <c r="C221" s="434"/>
      <c r="D221" s="2527"/>
      <c r="E221" s="2269"/>
      <c r="F221" s="2448"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2" t="str">
        <f>INDEX(PT_DIFFERENTIATION_NTAR,MATCH(B221,PT_DIFFERENTIATION_NTAR_ID,0))</f>
        <v>Тариф на теплоноситель, поставляемый потребителям
</v>
      </c>
      <c r="H221" s="1927"/>
      <c r="I221" s="1804"/>
      <c r="J221" s="1838"/>
      <c r="K221" s="1843"/>
      <c r="L221" s="1927" t="s">
        <v>325</v>
      </c>
      <c r="M221" s="406"/>
      <c r="N221" s="399"/>
      <c r="O221" s="1689"/>
      <c r="P221" s="1689"/>
      <c r="AH221" s="1696">
        <v>0</v>
      </c>
    </row>
    <row s="4921" customFormat="1" customHeight="1" ht="18.75" hidden="1">
      <c r="A222" s="1845"/>
      <c r="B222" s="1845"/>
      <c r="C222" s="434" t="s">
        <v>1177</v>
      </c>
      <c r="D222" s="2527"/>
      <c r="E222" s="2269"/>
      <c r="F222" s="2448"/>
      <c r="G222" s="2492"/>
      <c r="H222" s="1565"/>
      <c r="I222" s="716" t="s">
        <v>1176</v>
      </c>
      <c r="J222" s="636"/>
      <c r="K222" s="1565"/>
      <c r="L222" s="279"/>
      <c r="M222" s="406"/>
      <c r="N222" s="399"/>
      <c r="O222" s="1689"/>
      <c r="P222" s="1689"/>
      <c r="AH222" s="1696">
        <v>0</v>
      </c>
    </row>
    <row s="4921" customFormat="1" customHeight="1" ht="0.75" hidden="1">
      <c r="A223" s="1845"/>
      <c r="B223" s="1845"/>
      <c r="C223" s="434" t="s">
        <v>1184</v>
      </c>
      <c r="D223" s="2527"/>
      <c r="E223" s="2269"/>
      <c r="F223" s="2448"/>
      <c r="G223" s="465"/>
      <c r="H223" s="1565"/>
      <c r="I223" s="716"/>
      <c r="J223" s="636"/>
      <c r="K223" s="1565"/>
      <c r="L223" s="279"/>
      <c r="M223" s="406"/>
      <c r="N223" s="399"/>
      <c r="O223" s="1689"/>
      <c r="P223" s="1689"/>
      <c r="AH223" s="1696">
        <v>0</v>
      </c>
    </row>
    <row s="4921" customFormat="1" customHeight="1" ht="45" hidden="1">
      <c r="A224" s="1845" t="s">
        <v>188</v>
      </c>
      <c r="B224" s="1845" t="s">
        <v>189</v>
      </c>
      <c r="C224" s="434"/>
      <c r="D224" s="2527"/>
      <c r="E224" s="2269"/>
      <c r="F224" s="2448"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2" t="str">
        <f>INDEX(PT_DIFFERENTIATION_NTAR,MATCH(B224,PT_DIFFERENTIATION_NTAR_ID,0))</f>
        <v>Тариф на горячую воду, поставляемую потребителям с коллекторов</v>
      </c>
      <c r="H224" s="1927"/>
      <c r="I224" s="1804"/>
      <c r="J224" s="1838"/>
      <c r="K224" s="1843"/>
      <c r="L224" s="1927" t="s">
        <v>325</v>
      </c>
      <c r="M224" s="406"/>
      <c r="N224" s="399"/>
      <c r="O224" s="1689"/>
      <c r="P224" s="1689"/>
      <c r="AH224" s="1696">
        <v>0</v>
      </c>
    </row>
    <row s="4921" customFormat="1" customHeight="1" ht="18.75" hidden="1">
      <c r="A225" s="1845"/>
      <c r="B225" s="1845"/>
      <c r="C225" s="434" t="s">
        <v>1177</v>
      </c>
      <c r="D225" s="2527"/>
      <c r="E225" s="2269"/>
      <c r="F225" s="2448"/>
      <c r="G225" s="2492"/>
      <c r="H225" s="1565"/>
      <c r="I225" s="716" t="s">
        <v>1176</v>
      </c>
      <c r="J225" s="636"/>
      <c r="K225" s="1565"/>
      <c r="L225" s="279"/>
      <c r="M225" s="406"/>
      <c r="N225" s="399"/>
      <c r="O225" s="1689"/>
      <c r="P225" s="1689"/>
      <c r="AH225" s="1696">
        <v>0</v>
      </c>
    </row>
    <row s="4921" customFormat="1" customHeight="1" ht="18.75">
      <c r="A226" s="3917" t="s">
        <v>188</v>
      </c>
      <c r="B226" s="3917" t="s">
        <v>195</v>
      </c>
      <c r="C226" s="4942"/>
      <c r="D226" s="4943"/>
      <c r="E226" s="4944"/>
      <c r="F226" s="4944"/>
      <c r="G226" s="4945" t="str">
        <f>INDEX(PT_DIFFERENTIATION_NTAR,MATCH(B226,PT_DIFFERENTIATION_NTAR_ID,0))</f>
        <v>Тариф на горячую воду, поставляемую потребителям из тепловых сетей​</v>
      </c>
      <c r="H226" s="4946"/>
      <c r="I226" s="4947"/>
      <c r="J226" s="4948"/>
      <c r="K226" s="4960"/>
      <c r="L226" s="4946" t="s">
        <v>325</v>
      </c>
      <c r="M226" s="4950"/>
      <c r="N226" s="4951"/>
      <c r="O226" s="3927"/>
      <c r="P226" s="3927"/>
      <c r="Q226" s="3928"/>
      <c r="R226" s="3928"/>
      <c r="S226" s="3928"/>
      <c r="T226" s="3928"/>
      <c r="U226" s="3928"/>
      <c r="V226" s="3928"/>
      <c r="W226" s="3928"/>
      <c r="X226" s="3928"/>
      <c r="Y226" s="3928"/>
      <c r="Z226" s="3928"/>
      <c r="AA226" s="3928"/>
      <c r="AB226" s="3928"/>
      <c r="AC226" s="3928"/>
      <c r="AD226" s="3928"/>
      <c r="AE226" s="3928"/>
      <c r="AF226" s="3928"/>
      <c r="AG226" s="3928"/>
      <c r="AH226" s="3928">
        <v>0</v>
      </c>
    </row>
    <row s="4921" customFormat="1" customHeight="1" ht="18.75">
      <c r="A227" s="3917"/>
      <c r="B227" s="3917"/>
      <c r="C227" s="4942" t="s">
        <v>1177</v>
      </c>
      <c r="D227" s="4943"/>
      <c r="E227" s="4944"/>
      <c r="F227" s="4944"/>
      <c r="G227" s="4945"/>
      <c r="H227" s="4971"/>
      <c r="I227" s="4972" t="s">
        <v>1176</v>
      </c>
      <c r="J227" s="4973"/>
      <c r="K227" s="4974"/>
      <c r="L227" s="4975"/>
      <c r="M227" s="4950"/>
      <c r="N227" s="4951"/>
      <c r="O227" s="3927"/>
      <c r="P227" s="3927"/>
      <c r="Q227" s="3928"/>
      <c r="R227" s="3928"/>
      <c r="S227" s="3928"/>
      <c r="T227" s="3928"/>
      <c r="U227" s="3928"/>
      <c r="V227" s="3928"/>
      <c r="W227" s="3928"/>
      <c r="X227" s="3928"/>
      <c r="Y227" s="3928"/>
      <c r="Z227" s="3928"/>
      <c r="AA227" s="3928"/>
      <c r="AB227" s="3928"/>
      <c r="AC227" s="3928"/>
      <c r="AD227" s="3928"/>
      <c r="AE227" s="3928"/>
      <c r="AF227" s="3928"/>
      <c r="AG227" s="3928"/>
      <c r="AH227" s="3928">
        <v>0</v>
      </c>
    </row>
    <row s="4921" customFormat="1" customHeight="1" ht="0.75" hidden="1">
      <c r="A228" s="1845"/>
      <c r="B228" s="1845"/>
      <c r="C228" s="434" t="s">
        <v>1184</v>
      </c>
      <c r="D228" s="2527"/>
      <c r="E228" s="2269"/>
      <c r="F228" s="2448"/>
      <c r="G228" s="465"/>
      <c r="H228" s="1565"/>
      <c r="I228" s="716"/>
      <c r="J228" s="636"/>
      <c r="K228" s="1565"/>
      <c r="L228" s="279"/>
      <c r="M228" s="406"/>
      <c r="N228" s="399"/>
      <c r="O228" s="1689"/>
      <c r="P228" s="1689"/>
      <c r="AH228" s="1696">
        <v>0</v>
      </c>
    </row>
    <row s="4921" customFormat="1" customHeight="1" ht="18.75" hidden="1">
      <c r="A229" s="1845" t="s">
        <v>200</v>
      </c>
      <c r="B229" s="1845" t="s">
        <v>201</v>
      </c>
      <c r="C229" s="434"/>
      <c r="D229" s="2527"/>
      <c r="E229" s="2269"/>
      <c r="F229" s="2448" t="str">
        <f>INDEX(PT_DIFFERENTIATION_VTAR,MATCH(A229,PT_DIFFERENTIATION_VTAR_ID,0))</f>
        <v>Тарифы на услуги по передаче тепловой энергии</v>
      </c>
      <c r="G229" s="2492" t="str">
        <f>INDEX(PT_DIFFERENTIATION_NTAR,MATCH(B229,PT_DIFFERENTIATION_NTAR_ID,0))</f>
        <v/>
      </c>
      <c r="H229" s="1927"/>
      <c r="I229" s="1804"/>
      <c r="J229" s="1838"/>
      <c r="K229" s="1843"/>
      <c r="L229" s="1927" t="s">
        <v>325</v>
      </c>
      <c r="M229" s="406"/>
      <c r="N229" s="399"/>
      <c r="O229" s="1689"/>
      <c r="P229" s="1689"/>
      <c r="AH229" s="1696">
        <v>0</v>
      </c>
    </row>
    <row s="4921" customFormat="1" customHeight="1" ht="18.75" hidden="1">
      <c r="A230" s="1845"/>
      <c r="B230" s="1845"/>
      <c r="C230" s="434" t="s">
        <v>1177</v>
      </c>
      <c r="D230" s="2527"/>
      <c r="E230" s="2269"/>
      <c r="F230" s="2448"/>
      <c r="G230" s="2492"/>
      <c r="H230" s="1565"/>
      <c r="I230" s="716" t="s">
        <v>1176</v>
      </c>
      <c r="J230" s="636"/>
      <c r="K230" s="1565"/>
      <c r="L230" s="279"/>
      <c r="M230" s="406"/>
      <c r="N230" s="399"/>
      <c r="O230" s="1689"/>
      <c r="P230" s="1689"/>
      <c r="AH230" s="1696">
        <v>0</v>
      </c>
    </row>
    <row s="4921" customFormat="1" customHeight="1" ht="0.75" hidden="1">
      <c r="A231" s="1845"/>
      <c r="B231" s="1845"/>
      <c r="C231" s="434" t="s">
        <v>1184</v>
      </c>
      <c r="D231" s="2527"/>
      <c r="E231" s="2269"/>
      <c r="F231" s="2448"/>
      <c r="G231" s="465"/>
      <c r="H231" s="1565"/>
      <c r="I231" s="716"/>
      <c r="J231" s="636"/>
      <c r="K231" s="1565"/>
      <c r="L231" s="279"/>
      <c r="M231" s="406"/>
      <c r="N231" s="399"/>
      <c r="O231" s="1689"/>
      <c r="P231" s="1689"/>
      <c r="AH231" s="1696">
        <v>0</v>
      </c>
    </row>
    <row s="4921" customFormat="1" customHeight="1" ht="18.75" hidden="1">
      <c r="A232" s="1845" t="s">
        <v>206</v>
      </c>
      <c r="B232" s="1845" t="s">
        <v>207</v>
      </c>
      <c r="C232" s="434"/>
      <c r="D232" s="2527"/>
      <c r="E232" s="2269"/>
      <c r="F232" s="2448" t="str">
        <f>INDEX(PT_DIFFERENTIATION_VTAR,MATCH(A232,PT_DIFFERENTIATION_VTAR_ID,0))</f>
        <v>Тарифы на услуги по передаче теплоносителя</v>
      </c>
      <c r="G232" s="2492" t="str">
        <f>INDEX(PT_DIFFERENTIATION_NTAR,MATCH(B232,PT_DIFFERENTIATION_NTAR_ID,0))</f>
        <v/>
      </c>
      <c r="H232" s="1927"/>
      <c r="I232" s="1804"/>
      <c r="J232" s="1838"/>
      <c r="K232" s="1843"/>
      <c r="L232" s="1927" t="s">
        <v>325</v>
      </c>
      <c r="M232" s="406"/>
      <c r="N232" s="399"/>
      <c r="O232" s="1689"/>
      <c r="P232" s="1689"/>
      <c r="AH232" s="1696">
        <v>0</v>
      </c>
    </row>
    <row s="4921" customFormat="1" customHeight="1" ht="18.75" hidden="1">
      <c r="A233" s="1845"/>
      <c r="B233" s="1845"/>
      <c r="C233" s="434" t="s">
        <v>1177</v>
      </c>
      <c r="D233" s="2527"/>
      <c r="E233" s="2269"/>
      <c r="F233" s="2448"/>
      <c r="G233" s="2492"/>
      <c r="H233" s="1565"/>
      <c r="I233" s="716" t="s">
        <v>1176</v>
      </c>
      <c r="J233" s="636"/>
      <c r="K233" s="1565"/>
      <c r="L233" s="279"/>
      <c r="M233" s="406"/>
      <c r="N233" s="399"/>
      <c r="O233" s="1689"/>
      <c r="P233" s="1689"/>
      <c r="AH233" s="1696">
        <v>0</v>
      </c>
    </row>
    <row s="4921" customFormat="1" customHeight="1" ht="0.75" hidden="1">
      <c r="A234" s="1845"/>
      <c r="B234" s="1845"/>
      <c r="C234" s="434" t="s">
        <v>1184</v>
      </c>
      <c r="D234" s="2527"/>
      <c r="E234" s="2269"/>
      <c r="F234" s="2448"/>
      <c r="G234" s="465"/>
      <c r="H234" s="1565"/>
      <c r="I234" s="716"/>
      <c r="J234" s="636"/>
      <c r="K234" s="1565"/>
      <c r="L234" s="279"/>
      <c r="M234" s="406"/>
      <c r="N234" s="399"/>
      <c r="O234" s="1689"/>
      <c r="P234" s="1689"/>
      <c r="AH234" s="1696">
        <v>0</v>
      </c>
    </row>
    <row s="4921" customFormat="1" customHeight="1" ht="18.75" hidden="1">
      <c r="A235" s="1845" t="s">
        <v>212</v>
      </c>
      <c r="B235" s="1845" t="s">
        <v>213</v>
      </c>
      <c r="C235" s="434"/>
      <c r="D235" s="2527"/>
      <c r="E235" s="2269"/>
      <c r="F235" s="2448"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92" t="str">
        <f>INDEX(PT_DIFFERENTIATION_NTAR,MATCH(B235,PT_DIFFERENTIATION_NTAR_ID,0))</f>
        <v/>
      </c>
      <c r="H235" s="1927"/>
      <c r="I235" s="1804"/>
      <c r="J235" s="1838"/>
      <c r="K235" s="1843"/>
      <c r="L235" s="1927" t="s">
        <v>325</v>
      </c>
      <c r="M235" s="406"/>
      <c r="N235" s="399"/>
      <c r="O235" s="1689"/>
      <c r="P235" s="1689"/>
      <c r="AH235" s="1696">
        <v>0</v>
      </c>
    </row>
    <row s="4921" customFormat="1" customHeight="1" ht="18.75" hidden="1">
      <c r="A236" s="1845"/>
      <c r="B236" s="1845"/>
      <c r="C236" s="434" t="s">
        <v>1177</v>
      </c>
      <c r="D236" s="2527"/>
      <c r="E236" s="2269"/>
      <c r="F236" s="2448"/>
      <c r="G236" s="2492"/>
      <c r="H236" s="1565"/>
      <c r="I236" s="716" t="s">
        <v>1176</v>
      </c>
      <c r="J236" s="636"/>
      <c r="K236" s="1565"/>
      <c r="L236" s="279"/>
      <c r="M236" s="406"/>
      <c r="N236" s="399"/>
      <c r="O236" s="1689"/>
      <c r="P236" s="1689"/>
      <c r="AH236" s="1696">
        <v>0</v>
      </c>
    </row>
    <row s="4921" customFormat="1" customHeight="1" ht="0.75" hidden="1">
      <c r="A237" s="1845"/>
      <c r="B237" s="1845"/>
      <c r="C237" s="434" t="s">
        <v>1184</v>
      </c>
      <c r="D237" s="2527"/>
      <c r="E237" s="2269"/>
      <c r="F237" s="2448"/>
      <c r="G237" s="465"/>
      <c r="H237" s="1565"/>
      <c r="I237" s="716"/>
      <c r="J237" s="636"/>
      <c r="K237" s="1565"/>
      <c r="L237" s="279"/>
      <c r="M237" s="406"/>
      <c r="N237" s="399"/>
      <c r="O237" s="1689"/>
      <c r="P237" s="1689"/>
      <c r="AH237" s="1696">
        <v>0</v>
      </c>
    </row>
    <row s="4921" customFormat="1" customHeight="1" ht="18.75" hidden="1">
      <c r="A238" s="1845" t="s">
        <v>218</v>
      </c>
      <c r="B238" s="1845" t="s">
        <v>219</v>
      </c>
      <c r="C238" s="434"/>
      <c r="D238" s="2527"/>
      <c r="E238" s="2269"/>
      <c r="F238" s="2448" t="str">
        <f>INDEX(PT_DIFFERENTIATION_VTAR,MATCH(A238,PT_DIFFERENTIATION_VTAR_ID,0))</f>
        <v>Плата за подключение (технологическое присоединение) к системе теплоснабжения</v>
      </c>
      <c r="G238" s="2492" t="str">
        <f>INDEX(PT_DIFFERENTIATION_NTAR,MATCH(B238,PT_DIFFERENTIATION_NTAR_ID,0))</f>
        <v/>
      </c>
      <c r="H238" s="1927"/>
      <c r="I238" s="1804"/>
      <c r="J238" s="1838"/>
      <c r="K238" s="1843"/>
      <c r="L238" s="1927" t="s">
        <v>325</v>
      </c>
      <c r="M238" s="406"/>
      <c r="N238" s="399"/>
      <c r="O238" s="1689"/>
      <c r="P238" s="1689"/>
      <c r="AH238" s="1696">
        <v>0</v>
      </c>
    </row>
    <row s="4921" customFormat="1" customHeight="1" ht="18.75" hidden="1">
      <c r="A239" s="1845"/>
      <c r="B239" s="1845"/>
      <c r="C239" s="434" t="s">
        <v>1177</v>
      </c>
      <c r="D239" s="2527"/>
      <c r="E239" s="2269"/>
      <c r="F239" s="2448"/>
      <c r="G239" s="2492"/>
      <c r="H239" s="1565"/>
      <c r="I239" s="716" t="s">
        <v>1176</v>
      </c>
      <c r="J239" s="636"/>
      <c r="K239" s="1565"/>
      <c r="L239" s="279"/>
      <c r="M239" s="406"/>
      <c r="N239" s="399"/>
      <c r="O239" s="1689"/>
      <c r="P239" s="1689"/>
      <c r="AH239" s="1696">
        <v>0</v>
      </c>
    </row>
    <row s="4921" customFormat="1" customHeight="1" ht="0.75" hidden="1">
      <c r="A240" s="1845"/>
      <c r="B240" s="1845"/>
      <c r="C240" s="434" t="s">
        <v>1184</v>
      </c>
      <c r="D240" s="2527"/>
      <c r="E240" s="2269"/>
      <c r="F240" s="2448"/>
      <c r="G240" s="465"/>
      <c r="H240" s="1565"/>
      <c r="I240" s="716"/>
      <c r="J240" s="636"/>
      <c r="K240" s="1565"/>
      <c r="L240" s="279"/>
      <c r="M240" s="406"/>
      <c r="N240" s="399"/>
      <c r="O240" s="1689"/>
      <c r="P240" s="1689"/>
      <c r="AH240" s="1696">
        <v>0</v>
      </c>
    </row>
    <row s="4921" customFormat="1" customHeight="1" ht="18.75" hidden="1">
      <c r="A241" s="1845" t="s">
        <v>224</v>
      </c>
      <c r="B241" s="1845" t="s">
        <v>225</v>
      </c>
      <c r="C241" s="434"/>
      <c r="D241" s="2527"/>
      <c r="E241" s="2269"/>
      <c r="F241" s="2448" t="str">
        <f>INDEX(PT_DIFFERENTIATION_VTAR,MATCH(A241,PT_DIFFERENTIATION_VTAR_ID,0))</f>
        <v>Плата за подключение (технологическое присоединение) к системе теплоснабжения (индивидуальная)</v>
      </c>
      <c r="G241" s="2492" t="str">
        <f>INDEX(PT_DIFFERENTIATION_NTAR,MATCH(B241,PT_DIFFERENTIATION_NTAR_ID,0))</f>
        <v/>
      </c>
      <c r="H241" s="2054"/>
      <c r="I241" s="1804"/>
      <c r="J241" s="1838"/>
      <c r="K241" s="1843"/>
      <c r="L241" s="2054" t="s">
        <v>325</v>
      </c>
      <c r="M241" s="406"/>
      <c r="N241" s="399"/>
      <c r="O241" s="1689"/>
      <c r="P241" s="1689"/>
      <c r="AH241" s="1696">
        <v>0</v>
      </c>
    </row>
    <row s="4921" customFormat="1" customHeight="1" ht="18.75" hidden="1">
      <c r="A242" s="1845"/>
      <c r="B242" s="1845"/>
      <c r="C242" s="434" t="s">
        <v>1177</v>
      </c>
      <c r="D242" s="2527"/>
      <c r="E242" s="2269"/>
      <c r="F242" s="2448"/>
      <c r="G242" s="2492"/>
      <c r="H242" s="1565"/>
      <c r="I242" s="716" t="s">
        <v>1176</v>
      </c>
      <c r="J242" s="636"/>
      <c r="K242" s="1565"/>
      <c r="L242" s="279"/>
      <c r="M242" s="406"/>
      <c r="N242" s="399"/>
      <c r="O242" s="1689"/>
      <c r="P242" s="1689"/>
      <c r="AH242" s="1696">
        <v>0</v>
      </c>
    </row>
    <row s="4921" customFormat="1" customHeight="1" ht="0.75" hidden="1">
      <c r="A243" s="1845"/>
      <c r="B243" s="1845"/>
      <c r="C243" s="434" t="s">
        <v>1184</v>
      </c>
      <c r="D243" s="2527"/>
      <c r="E243" s="2269"/>
      <c r="F243" s="2448"/>
      <c r="G243" s="465"/>
      <c r="H243" s="1565"/>
      <c r="I243" s="716"/>
      <c r="J243" s="636"/>
      <c r="K243" s="1565"/>
      <c r="L243" s="279"/>
      <c r="M243" s="406"/>
      <c r="N243" s="399"/>
      <c r="O243" s="1689"/>
      <c r="P243" s="1689"/>
      <c r="AH243" s="1696">
        <v>0</v>
      </c>
    </row>
    <row s="4921" customFormat="1" customHeight="1" ht="18.75" hidden="1">
      <c r="A244" s="1845" t="s">
        <v>244</v>
      </c>
      <c r="B244" s="1845" t="s">
        <v>245</v>
      </c>
      <c r="C244" s="434"/>
      <c r="D244" s="2527"/>
      <c r="E244" s="2269"/>
      <c r="F244" s="2448" t="str">
        <f>INDEX(PT_DIFFERENTIATION_VTAR,MATCH(A244,PT_DIFFERENTIATION_VTAR_ID,0))</f>
        <v>Тариф на питьевую воду (питьевое водоснабжение)</v>
      </c>
      <c r="G244" s="2492" t="str">
        <f>INDEX(PT_DIFFERENTIATION_NTAR,MATCH(B244,PT_DIFFERENTIATION_NTAR_ID,0))</f>
        <v/>
      </c>
      <c r="H244" s="1927"/>
      <c r="I244" s="1804"/>
      <c r="J244" s="1838"/>
      <c r="K244" s="1843"/>
      <c r="L244" s="1927" t="s">
        <v>325</v>
      </c>
      <c r="M244" s="406"/>
      <c r="N244" s="399"/>
      <c r="O244" s="1689"/>
      <c r="P244" s="1689"/>
      <c r="AH244" s="1696">
        <v>0</v>
      </c>
    </row>
    <row s="4921" customFormat="1" customHeight="1" ht="18.75" hidden="1">
      <c r="A245" s="1845"/>
      <c r="B245" s="1845"/>
      <c r="C245" s="434" t="s">
        <v>1177</v>
      </c>
      <c r="D245" s="2527"/>
      <c r="E245" s="2269"/>
      <c r="F245" s="2448"/>
      <c r="G245" s="2492"/>
      <c r="H245" s="1565"/>
      <c r="I245" s="716" t="s">
        <v>1176</v>
      </c>
      <c r="J245" s="636"/>
      <c r="K245" s="1565"/>
      <c r="L245" s="279"/>
      <c r="M245" s="406"/>
      <c r="N245" s="399"/>
      <c r="O245" s="1689"/>
      <c r="P245" s="1689"/>
      <c r="AH245" s="1696">
        <v>0</v>
      </c>
    </row>
    <row s="4921" customFormat="1" customHeight="1" ht="0.75" hidden="1">
      <c r="A246" s="1845"/>
      <c r="B246" s="1845"/>
      <c r="C246" s="434" t="s">
        <v>1184</v>
      </c>
      <c r="D246" s="2527"/>
      <c r="E246" s="2269"/>
      <c r="F246" s="2448"/>
      <c r="G246" s="465"/>
      <c r="H246" s="1565"/>
      <c r="I246" s="716"/>
      <c r="J246" s="636"/>
      <c r="K246" s="1565"/>
      <c r="L246" s="279"/>
      <c r="M246" s="406"/>
      <c r="N246" s="399"/>
      <c r="O246" s="1689"/>
      <c r="P246" s="1689"/>
      <c r="AH246" s="1696">
        <v>0</v>
      </c>
    </row>
    <row s="4921" customFormat="1" customHeight="1" ht="18.75" hidden="1">
      <c r="A247" s="1845" t="s">
        <v>249</v>
      </c>
      <c r="B247" s="1845" t="s">
        <v>250</v>
      </c>
      <c r="C247" s="434"/>
      <c r="D247" s="2527"/>
      <c r="E247" s="2269"/>
      <c r="F247" s="2448" t="str">
        <f>INDEX(PT_DIFFERENTIATION_VTAR,MATCH(A247,PT_DIFFERENTIATION_VTAR_ID,0))</f>
        <v>Тариф на техническую воду</v>
      </c>
      <c r="G247" s="2492" t="str">
        <f>INDEX(PT_DIFFERENTIATION_NTAR,MATCH(B247,PT_DIFFERENTIATION_NTAR_ID,0))</f>
        <v/>
      </c>
      <c r="H247" s="1927"/>
      <c r="I247" s="1804"/>
      <c r="J247" s="1838"/>
      <c r="K247" s="1843"/>
      <c r="L247" s="1927" t="s">
        <v>325</v>
      </c>
      <c r="M247" s="406"/>
      <c r="N247" s="399"/>
      <c r="O247" s="1689"/>
      <c r="P247" s="1689"/>
      <c r="AH247" s="1696">
        <v>0</v>
      </c>
    </row>
    <row s="4921" customFormat="1" customHeight="1" ht="18.75" hidden="1">
      <c r="A248" s="1845"/>
      <c r="B248" s="1845"/>
      <c r="C248" s="434" t="s">
        <v>1177</v>
      </c>
      <c r="D248" s="2527"/>
      <c r="E248" s="2269"/>
      <c r="F248" s="2448"/>
      <c r="G248" s="2492"/>
      <c r="H248" s="1565"/>
      <c r="I248" s="716" t="s">
        <v>1176</v>
      </c>
      <c r="J248" s="636"/>
      <c r="K248" s="1565"/>
      <c r="L248" s="279"/>
      <c r="M248" s="406"/>
      <c r="N248" s="399"/>
      <c r="O248" s="1689"/>
      <c r="P248" s="1689"/>
      <c r="AH248" s="1696">
        <v>0</v>
      </c>
    </row>
    <row s="4921" customFormat="1" customHeight="1" ht="0.75" hidden="1">
      <c r="A249" s="1845"/>
      <c r="B249" s="1845"/>
      <c r="C249" s="434" t="s">
        <v>1184</v>
      </c>
      <c r="D249" s="2527"/>
      <c r="E249" s="2269"/>
      <c r="F249" s="2448"/>
      <c r="G249" s="465"/>
      <c r="H249" s="1565"/>
      <c r="I249" s="716"/>
      <c r="J249" s="636"/>
      <c r="K249" s="1565"/>
      <c r="L249" s="279"/>
      <c r="M249" s="406"/>
      <c r="N249" s="399"/>
      <c r="O249" s="1689"/>
      <c r="P249" s="1689"/>
      <c r="AH249" s="1696">
        <v>0</v>
      </c>
    </row>
    <row s="4921" customFormat="1" customHeight="1" ht="18.75" hidden="1">
      <c r="A250" s="1845" t="s">
        <v>254</v>
      </c>
      <c r="B250" s="1845" t="s">
        <v>255</v>
      </c>
      <c r="C250" s="434"/>
      <c r="D250" s="2527"/>
      <c r="E250" s="2269"/>
      <c r="F250" s="2448" t="str">
        <f>INDEX(PT_DIFFERENTIATION_VTAR,MATCH(A250,PT_DIFFERENTIATION_VTAR_ID,0))</f>
        <v>Тариф на транспортировку воды</v>
      </c>
      <c r="G250" s="2492" t="str">
        <f>INDEX(PT_DIFFERENTIATION_NTAR,MATCH(B250,PT_DIFFERENTIATION_NTAR_ID,0))</f>
        <v/>
      </c>
      <c r="H250" s="1927"/>
      <c r="I250" s="1804"/>
      <c r="J250" s="1838"/>
      <c r="K250" s="1843"/>
      <c r="L250" s="1927" t="s">
        <v>325</v>
      </c>
      <c r="M250" s="406"/>
      <c r="N250" s="399"/>
      <c r="O250" s="1689"/>
      <c r="P250" s="1689"/>
      <c r="AH250" s="1696">
        <v>0</v>
      </c>
    </row>
    <row s="4921" customFormat="1" customHeight="1" ht="18.75" hidden="1">
      <c r="A251" s="1845"/>
      <c r="B251" s="1845"/>
      <c r="C251" s="434" t="s">
        <v>1177</v>
      </c>
      <c r="D251" s="2527"/>
      <c r="E251" s="2269"/>
      <c r="F251" s="2448"/>
      <c r="G251" s="2492"/>
      <c r="H251" s="1565"/>
      <c r="I251" s="716" t="s">
        <v>1176</v>
      </c>
      <c r="J251" s="636"/>
      <c r="K251" s="1565"/>
      <c r="L251" s="279"/>
      <c r="M251" s="406"/>
      <c r="N251" s="399"/>
      <c r="O251" s="1689"/>
      <c r="P251" s="1689"/>
      <c r="AH251" s="1696">
        <v>0</v>
      </c>
    </row>
    <row s="4921" customFormat="1" customHeight="1" ht="0.75" hidden="1">
      <c r="A252" s="1845"/>
      <c r="B252" s="1845"/>
      <c r="C252" s="434" t="s">
        <v>1184</v>
      </c>
      <c r="D252" s="2527"/>
      <c r="E252" s="2269"/>
      <c r="F252" s="2448"/>
      <c r="G252" s="465"/>
      <c r="H252" s="1565"/>
      <c r="I252" s="716"/>
      <c r="J252" s="636"/>
      <c r="K252" s="1565"/>
      <c r="L252" s="279"/>
      <c r="M252" s="406"/>
      <c r="N252" s="399"/>
      <c r="O252" s="1689"/>
      <c r="P252" s="1689"/>
      <c r="AH252" s="1696">
        <v>0</v>
      </c>
    </row>
    <row s="4921" customFormat="1" customHeight="1" ht="18.75" hidden="1">
      <c r="A253" s="1845" t="s">
        <v>259</v>
      </c>
      <c r="B253" s="1845" t="s">
        <v>260</v>
      </c>
      <c r="C253" s="434"/>
      <c r="D253" s="2527"/>
      <c r="E253" s="2269"/>
      <c r="F253" s="2448" t="str">
        <f>INDEX(PT_DIFFERENTIATION_VTAR,MATCH(A253,PT_DIFFERENTIATION_VTAR_ID,0))</f>
        <v>Тариф на подвоз воды</v>
      </c>
      <c r="G253" s="2492" t="str">
        <f>INDEX(PT_DIFFERENTIATION_NTAR,MATCH(B253,PT_DIFFERENTIATION_NTAR_ID,0))</f>
        <v/>
      </c>
      <c r="H253" s="1927"/>
      <c r="I253" s="1804"/>
      <c r="J253" s="1838"/>
      <c r="K253" s="1843"/>
      <c r="L253" s="1927" t="s">
        <v>325</v>
      </c>
      <c r="M253" s="406"/>
      <c r="N253" s="399"/>
      <c r="O253" s="1689"/>
      <c r="P253" s="1689"/>
      <c r="AH253" s="1696">
        <v>0</v>
      </c>
    </row>
    <row s="4921" customFormat="1" customHeight="1" ht="18.75" hidden="1">
      <c r="A254" s="1845"/>
      <c r="B254" s="1845"/>
      <c r="C254" s="434" t="s">
        <v>1177</v>
      </c>
      <c r="D254" s="2527"/>
      <c r="E254" s="2269"/>
      <c r="F254" s="2448"/>
      <c r="G254" s="2492"/>
      <c r="H254" s="1565"/>
      <c r="I254" s="716" t="s">
        <v>1176</v>
      </c>
      <c r="J254" s="636"/>
      <c r="K254" s="1565"/>
      <c r="L254" s="279"/>
      <c r="M254" s="406"/>
      <c r="N254" s="399"/>
      <c r="O254" s="1689"/>
      <c r="P254" s="1689"/>
      <c r="AH254" s="1696">
        <v>0</v>
      </c>
    </row>
    <row s="4921" customFormat="1" customHeight="1" ht="0.75" hidden="1">
      <c r="A255" s="1845"/>
      <c r="B255" s="1845"/>
      <c r="C255" s="434" t="s">
        <v>1184</v>
      </c>
      <c r="D255" s="2527"/>
      <c r="E255" s="2269"/>
      <c r="F255" s="2448"/>
      <c r="G255" s="465"/>
      <c r="H255" s="1565"/>
      <c r="I255" s="716"/>
      <c r="J255" s="636"/>
      <c r="K255" s="1565"/>
      <c r="L255" s="279"/>
      <c r="M255" s="406"/>
      <c r="N255" s="399"/>
      <c r="O255" s="1689"/>
      <c r="P255" s="1689"/>
      <c r="AH255" s="1696">
        <v>0</v>
      </c>
    </row>
    <row s="4921" customFormat="1" customHeight="1" ht="18.75" hidden="1">
      <c r="A256" s="1845" t="s">
        <v>264</v>
      </c>
      <c r="B256" s="1845" t="s">
        <v>265</v>
      </c>
      <c r="C256" s="434"/>
      <c r="D256" s="2527"/>
      <c r="E256" s="2269"/>
      <c r="F256" s="2448"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92" t="str">
        <f>INDEX(PT_DIFFERENTIATION_NTAR,MATCH(B256,PT_DIFFERENTIATION_NTAR_ID,0))</f>
        <v/>
      </c>
      <c r="H256" s="1927"/>
      <c r="I256" s="1804"/>
      <c r="J256" s="1838"/>
      <c r="K256" s="1843"/>
      <c r="L256" s="1927" t="s">
        <v>325</v>
      </c>
      <c r="M256" s="406"/>
      <c r="N256" s="399"/>
      <c r="O256" s="1689"/>
      <c r="P256" s="1689"/>
      <c r="AH256" s="1696">
        <v>0</v>
      </c>
    </row>
    <row s="4921" customFormat="1" customHeight="1" ht="18.75" hidden="1">
      <c r="A257" s="1845"/>
      <c r="B257" s="1845"/>
      <c r="C257" s="434" t="s">
        <v>1177</v>
      </c>
      <c r="D257" s="2527"/>
      <c r="E257" s="2269"/>
      <c r="F257" s="2448"/>
      <c r="G257" s="2492"/>
      <c r="H257" s="1565"/>
      <c r="I257" s="716" t="s">
        <v>1176</v>
      </c>
      <c r="J257" s="636"/>
      <c r="K257" s="1565"/>
      <c r="L257" s="279"/>
      <c r="M257" s="406"/>
      <c r="N257" s="399"/>
      <c r="O257" s="1689"/>
      <c r="P257" s="1689"/>
      <c r="AH257" s="1696">
        <v>0</v>
      </c>
    </row>
    <row s="4921" customFormat="1" customHeight="1" ht="0.75" hidden="1">
      <c r="A258" s="1845"/>
      <c r="B258" s="1845"/>
      <c r="C258" s="434" t="s">
        <v>1184</v>
      </c>
      <c r="D258" s="2527"/>
      <c r="E258" s="2269"/>
      <c r="F258" s="2448"/>
      <c r="G258" s="465"/>
      <c r="H258" s="1565"/>
      <c r="I258" s="716"/>
      <c r="J258" s="636"/>
      <c r="K258" s="1565"/>
      <c r="L258" s="279"/>
      <c r="M258" s="406"/>
      <c r="N258" s="399"/>
      <c r="O258" s="1689"/>
      <c r="P258" s="1689"/>
      <c r="AH258" s="1696">
        <v>0</v>
      </c>
    </row>
    <row s="4921" customFormat="1" customHeight="1" ht="18.75" hidden="1">
      <c r="A259" s="1845" t="s">
        <v>269</v>
      </c>
      <c r="B259" s="1845" t="s">
        <v>270</v>
      </c>
      <c r="C259" s="434"/>
      <c r="D259" s="2527"/>
      <c r="E259" s="2269"/>
      <c r="F259" s="2448" t="str">
        <f>INDEX(PT_DIFFERENTIATION_VTAR,MATCH(A259,PT_DIFFERENTIATION_VTAR_ID,0))</f>
        <v>Тариф на горячую воду (горячее водоснабжение)</v>
      </c>
      <c r="G259" s="2492" t="str">
        <f>INDEX(PT_DIFFERENTIATION_NTAR,MATCH(B259,PT_DIFFERENTIATION_NTAR_ID,0))</f>
        <v/>
      </c>
      <c r="H259" s="1927"/>
      <c r="I259" s="1804"/>
      <c r="J259" s="1838"/>
      <c r="K259" s="1843"/>
      <c r="L259" s="1927" t="s">
        <v>325</v>
      </c>
      <c r="M259" s="406"/>
      <c r="N259" s="399"/>
      <c r="O259" s="1689"/>
      <c r="P259" s="1689"/>
      <c r="AH259" s="1696">
        <v>0</v>
      </c>
    </row>
    <row s="4921" customFormat="1" customHeight="1" ht="18.75" hidden="1">
      <c r="A260" s="1845"/>
      <c r="B260" s="1845"/>
      <c r="C260" s="434" t="s">
        <v>1177</v>
      </c>
      <c r="D260" s="2527"/>
      <c r="E260" s="2269"/>
      <c r="F260" s="2448"/>
      <c r="G260" s="2492"/>
      <c r="H260" s="1565"/>
      <c r="I260" s="716" t="s">
        <v>1176</v>
      </c>
      <c r="J260" s="636"/>
      <c r="K260" s="1565"/>
      <c r="L260" s="279"/>
      <c r="M260" s="406"/>
      <c r="N260" s="399"/>
      <c r="O260" s="1689"/>
      <c r="P260" s="1689"/>
      <c r="AH260" s="1696">
        <v>0</v>
      </c>
    </row>
    <row s="4921" customFormat="1" customHeight="1" ht="0.75" hidden="1">
      <c r="A261" s="1845"/>
      <c r="B261" s="1845"/>
      <c r="C261" s="434" t="s">
        <v>1184</v>
      </c>
      <c r="D261" s="2527"/>
      <c r="E261" s="2269"/>
      <c r="F261" s="2448"/>
      <c r="G261" s="465"/>
      <c r="H261" s="1565"/>
      <c r="I261" s="716"/>
      <c r="J261" s="636"/>
      <c r="K261" s="1565"/>
      <c r="L261" s="279"/>
      <c r="M261" s="406"/>
      <c r="N261" s="399"/>
      <c r="O261" s="1689"/>
      <c r="P261" s="1689"/>
      <c r="AH261" s="1696">
        <v>0</v>
      </c>
    </row>
    <row s="4921" customFormat="1" customHeight="1" ht="18.75" hidden="1">
      <c r="A262" s="1845" t="s">
        <v>274</v>
      </c>
      <c r="B262" s="1845" t="s">
        <v>275</v>
      </c>
      <c r="C262" s="434"/>
      <c r="D262" s="2527"/>
      <c r="E262" s="2269"/>
      <c r="F262" s="2448" t="str">
        <f>INDEX(PT_DIFFERENTIATION_VTAR,MATCH(A262,PT_DIFFERENTIATION_VTAR_ID,0))</f>
        <v>Тариф на транспортировку горячей воды</v>
      </c>
      <c r="G262" s="2492" t="str">
        <f>INDEX(PT_DIFFERENTIATION_NTAR,MATCH(B262,PT_DIFFERENTIATION_NTAR_ID,0))</f>
        <v/>
      </c>
      <c r="H262" s="1927"/>
      <c r="I262" s="1804"/>
      <c r="J262" s="1838"/>
      <c r="K262" s="1843"/>
      <c r="L262" s="1927" t="s">
        <v>325</v>
      </c>
      <c r="M262" s="406"/>
      <c r="N262" s="399"/>
      <c r="O262" s="1689"/>
      <c r="P262" s="1689"/>
      <c r="AH262" s="1696">
        <v>0</v>
      </c>
    </row>
    <row s="4921" customFormat="1" customHeight="1" ht="18.75" hidden="1">
      <c r="A263" s="1845"/>
      <c r="B263" s="1845"/>
      <c r="C263" s="434" t="s">
        <v>1177</v>
      </c>
      <c r="D263" s="2527"/>
      <c r="E263" s="2269"/>
      <c r="F263" s="2448"/>
      <c r="G263" s="2492"/>
      <c r="H263" s="1565"/>
      <c r="I263" s="716" t="s">
        <v>1176</v>
      </c>
      <c r="J263" s="636"/>
      <c r="K263" s="1565"/>
      <c r="L263" s="279"/>
      <c r="M263" s="406"/>
      <c r="N263" s="399"/>
      <c r="O263" s="1689"/>
      <c r="P263" s="1689"/>
      <c r="AH263" s="1696">
        <v>0</v>
      </c>
    </row>
    <row s="4921" customFormat="1" customHeight="1" ht="0.75" hidden="1">
      <c r="A264" s="1845"/>
      <c r="B264" s="1845"/>
      <c r="C264" s="434" t="s">
        <v>1184</v>
      </c>
      <c r="D264" s="2527"/>
      <c r="E264" s="2269"/>
      <c r="F264" s="2448"/>
      <c r="G264" s="465"/>
      <c r="H264" s="1565"/>
      <c r="I264" s="716"/>
      <c r="J264" s="636"/>
      <c r="K264" s="1565"/>
      <c r="L264" s="279"/>
      <c r="M264" s="406"/>
      <c r="N264" s="399"/>
      <c r="O264" s="1689"/>
      <c r="P264" s="1689"/>
      <c r="AH264" s="1696">
        <v>0</v>
      </c>
    </row>
    <row s="4921" customFormat="1" customHeight="1" ht="18.75" hidden="1">
      <c r="A265" s="1845" t="s">
        <v>279</v>
      </c>
      <c r="B265" s="1845" t="s">
        <v>280</v>
      </c>
      <c r="C265" s="434"/>
      <c r="D265" s="2527"/>
      <c r="E265" s="2269"/>
      <c r="F265" s="2448"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92" t="str">
        <f>INDEX(PT_DIFFERENTIATION_NTAR,MATCH(B265,PT_DIFFERENTIATION_NTAR_ID,0))</f>
        <v/>
      </c>
      <c r="H265" s="1927"/>
      <c r="I265" s="1804"/>
      <c r="J265" s="1838"/>
      <c r="K265" s="1843"/>
      <c r="L265" s="1927" t="s">
        <v>325</v>
      </c>
      <c r="M265" s="406"/>
      <c r="N265" s="399"/>
      <c r="O265" s="1689"/>
      <c r="P265" s="1689"/>
      <c r="AH265" s="1696">
        <v>0</v>
      </c>
    </row>
    <row s="4921" customFormat="1" customHeight="1" ht="18.75" hidden="1">
      <c r="A266" s="1845"/>
      <c r="B266" s="1845"/>
      <c r="C266" s="434" t="s">
        <v>1177</v>
      </c>
      <c r="D266" s="2527"/>
      <c r="E266" s="2269"/>
      <c r="F266" s="2448"/>
      <c r="G266" s="2492"/>
      <c r="H266" s="1565"/>
      <c r="I266" s="716" t="s">
        <v>1176</v>
      </c>
      <c r="J266" s="636"/>
      <c r="K266" s="1565"/>
      <c r="L266" s="279"/>
      <c r="M266" s="406"/>
      <c r="N266" s="399"/>
      <c r="O266" s="1689"/>
      <c r="P266" s="1689"/>
      <c r="AH266" s="1696">
        <v>0</v>
      </c>
    </row>
    <row s="4921" customFormat="1" customHeight="1" ht="0.75" hidden="1">
      <c r="A267" s="1845"/>
      <c r="B267" s="1845"/>
      <c r="C267" s="434" t="s">
        <v>1184</v>
      </c>
      <c r="D267" s="2527"/>
      <c r="E267" s="2269"/>
      <c r="F267" s="2448"/>
      <c r="G267" s="465"/>
      <c r="H267" s="1565"/>
      <c r="I267" s="716"/>
      <c r="J267" s="636"/>
      <c r="K267" s="1565"/>
      <c r="L267" s="279"/>
      <c r="M267" s="406"/>
      <c r="N267" s="399"/>
      <c r="O267" s="1689"/>
      <c r="P267" s="1689"/>
      <c r="AH267" s="1696">
        <v>0</v>
      </c>
    </row>
    <row s="4921" customFormat="1" customHeight="1" ht="18.75" hidden="1">
      <c r="A268" s="1845" t="s">
        <v>284</v>
      </c>
      <c r="B268" s="1845" t="s">
        <v>285</v>
      </c>
      <c r="C268" s="434"/>
      <c r="D268" s="2527"/>
      <c r="E268" s="2269"/>
      <c r="F268" s="2448" t="str">
        <f>INDEX(PT_DIFFERENTIATION_VTAR,MATCH(A268,PT_DIFFERENTIATION_VTAR_ID,0))</f>
        <v>Тариф на водоотведение</v>
      </c>
      <c r="G268" s="2492" t="str">
        <f>INDEX(PT_DIFFERENTIATION_NTAR,MATCH(B268,PT_DIFFERENTIATION_NTAR_ID,0))</f>
        <v/>
      </c>
      <c r="H268" s="1927"/>
      <c r="I268" s="1804"/>
      <c r="J268" s="1838"/>
      <c r="K268" s="1843"/>
      <c r="L268" s="1927" t="s">
        <v>325</v>
      </c>
      <c r="M268" s="406"/>
      <c r="N268" s="399"/>
      <c r="O268" s="1689"/>
      <c r="P268" s="1689"/>
      <c r="AH268" s="1696">
        <v>0</v>
      </c>
    </row>
    <row s="4921" customFormat="1" customHeight="1" ht="18.75" hidden="1">
      <c r="A269" s="1845"/>
      <c r="B269" s="1845"/>
      <c r="C269" s="434" t="s">
        <v>1177</v>
      </c>
      <c r="D269" s="2527"/>
      <c r="E269" s="2269"/>
      <c r="F269" s="2448"/>
      <c r="G269" s="2492"/>
      <c r="H269" s="1565"/>
      <c r="I269" s="716" t="s">
        <v>1176</v>
      </c>
      <c r="J269" s="636"/>
      <c r="K269" s="1565"/>
      <c r="L269" s="279"/>
      <c r="M269" s="406"/>
      <c r="N269" s="399"/>
      <c r="O269" s="1689"/>
      <c r="P269" s="1689"/>
      <c r="AH269" s="1696">
        <v>0</v>
      </c>
    </row>
    <row s="4921" customFormat="1" customHeight="1" ht="0.75" hidden="1">
      <c r="A270" s="1845"/>
      <c r="B270" s="1845"/>
      <c r="C270" s="434" t="s">
        <v>1184</v>
      </c>
      <c r="D270" s="2527"/>
      <c r="E270" s="2269"/>
      <c r="F270" s="2448"/>
      <c r="G270" s="465"/>
      <c r="H270" s="1565"/>
      <c r="I270" s="716"/>
      <c r="J270" s="636"/>
      <c r="K270" s="1565"/>
      <c r="L270" s="279"/>
      <c r="M270" s="406"/>
      <c r="N270" s="399"/>
      <c r="O270" s="1689"/>
      <c r="P270" s="1689"/>
      <c r="AH270" s="1696">
        <v>0</v>
      </c>
    </row>
    <row s="4921" customFormat="1" customHeight="1" ht="18.75" hidden="1">
      <c r="A271" s="1845" t="s">
        <v>289</v>
      </c>
      <c r="B271" s="1845" t="s">
        <v>290</v>
      </c>
      <c r="C271" s="434"/>
      <c r="D271" s="2527"/>
      <c r="E271" s="2269"/>
      <c r="F271" s="2448" t="str">
        <f>INDEX(PT_DIFFERENTIATION_VTAR,MATCH(A271,PT_DIFFERENTIATION_VTAR_ID,0))</f>
        <v>Тариф на транспортировку сточных вод</v>
      </c>
      <c r="G271" s="2492" t="str">
        <f>INDEX(PT_DIFFERENTIATION_NTAR,MATCH(B271,PT_DIFFERENTIATION_NTAR_ID,0))</f>
        <v/>
      </c>
      <c r="H271" s="1927"/>
      <c r="I271" s="1804"/>
      <c r="J271" s="1838"/>
      <c r="K271" s="1843"/>
      <c r="L271" s="1927" t="s">
        <v>325</v>
      </c>
      <c r="M271" s="406"/>
      <c r="N271" s="399"/>
      <c r="O271" s="1689"/>
      <c r="P271" s="1689"/>
      <c r="AH271" s="1696">
        <v>0</v>
      </c>
    </row>
    <row s="4921" customFormat="1" customHeight="1" ht="18.75" hidden="1">
      <c r="A272" s="1845"/>
      <c r="B272" s="1845"/>
      <c r="C272" s="434" t="s">
        <v>1177</v>
      </c>
      <c r="D272" s="2527"/>
      <c r="E272" s="2269"/>
      <c r="F272" s="2448"/>
      <c r="G272" s="2492"/>
      <c r="H272" s="1565"/>
      <c r="I272" s="716" t="s">
        <v>1176</v>
      </c>
      <c r="J272" s="636"/>
      <c r="K272" s="1565"/>
      <c r="L272" s="279"/>
      <c r="M272" s="406"/>
      <c r="N272" s="399"/>
      <c r="O272" s="1689"/>
      <c r="P272" s="1689"/>
      <c r="AH272" s="1696">
        <v>0</v>
      </c>
    </row>
    <row s="4921" customFormat="1" customHeight="1" ht="0.75" hidden="1">
      <c r="A273" s="1845"/>
      <c r="B273" s="1845"/>
      <c r="C273" s="434" t="s">
        <v>1184</v>
      </c>
      <c r="D273" s="2527"/>
      <c r="E273" s="2269"/>
      <c r="F273" s="2448"/>
      <c r="G273" s="465"/>
      <c r="H273" s="1565"/>
      <c r="I273" s="716"/>
      <c r="J273" s="636"/>
      <c r="K273" s="1565"/>
      <c r="L273" s="279"/>
      <c r="M273" s="406"/>
      <c r="N273" s="399"/>
      <c r="O273" s="1689"/>
      <c r="P273" s="1689"/>
      <c r="AH273" s="1696">
        <v>0</v>
      </c>
    </row>
    <row s="4921" customFormat="1" customHeight="1" ht="18.75" hidden="1">
      <c r="A274" s="1845" t="s">
        <v>294</v>
      </c>
      <c r="B274" s="1845" t="s">
        <v>295</v>
      </c>
      <c r="C274" s="434"/>
      <c r="D274" s="2527"/>
      <c r="E274" s="2269"/>
      <c r="F274" s="2448" t="str">
        <f>INDEX(PT_DIFFERENTIATION_VTAR,MATCH(A274,PT_DIFFERENTIATION_VTAR_ID,0))</f>
        <v>Тариф на подключение (технологическое присоединение) к централизованной системе водоотведения</v>
      </c>
      <c r="G274" s="2492" t="str">
        <f>INDEX(PT_DIFFERENTIATION_NTAR,MATCH(B274,PT_DIFFERENTIATION_NTAR_ID,0))</f>
        <v/>
      </c>
      <c r="H274" s="1927"/>
      <c r="I274" s="1804"/>
      <c r="J274" s="1838"/>
      <c r="K274" s="1843"/>
      <c r="L274" s="1927" t="s">
        <v>325</v>
      </c>
      <c r="M274" s="406"/>
      <c r="N274" s="399"/>
      <c r="O274" s="1689"/>
      <c r="P274" s="1689"/>
      <c r="AH274" s="1696">
        <v>0</v>
      </c>
    </row>
    <row s="4921" customFormat="1" customHeight="1" ht="18.75" hidden="1">
      <c r="A275" s="1845"/>
      <c r="B275" s="1845"/>
      <c r="C275" s="434" t="s">
        <v>1177</v>
      </c>
      <c r="D275" s="2527"/>
      <c r="E275" s="2269"/>
      <c r="F275" s="2448"/>
      <c r="G275" s="2492"/>
      <c r="H275" s="1565"/>
      <c r="I275" s="716" t="s">
        <v>1176</v>
      </c>
      <c r="J275" s="636"/>
      <c r="K275" s="1565"/>
      <c r="L275" s="279"/>
      <c r="M275" s="406"/>
      <c r="N275" s="399"/>
      <c r="O275" s="1689"/>
      <c r="P275" s="1689"/>
      <c r="AH275" s="1696">
        <v>0</v>
      </c>
    </row>
    <row s="4921" customFormat="1" customHeight="1" ht="1.05">
      <c r="A276" s="1845"/>
      <c r="B276" s="1845"/>
      <c r="C276" s="434" t="s">
        <v>1184</v>
      </c>
      <c r="D276" s="2527"/>
      <c r="E276" s="2269"/>
      <c r="F276" s="2448"/>
      <c r="G276" s="465"/>
      <c r="H276" s="1565"/>
      <c r="I276" s="716"/>
      <c r="J276" s="636"/>
      <c r="K276" s="1565"/>
      <c r="L276" s="279"/>
      <c r="M276" s="406"/>
      <c r="N276" s="399"/>
      <c r="O276" s="1689"/>
      <c r="P276" s="1689"/>
      <c r="AH276" s="1696">
        <v>1</v>
      </c>
    </row>
    <row customHeight="1" ht="27.299999999999997">
      <c r="A277" s="1845"/>
      <c r="B277" s="1845"/>
      <c r="D277" s="441"/>
      <c r="E277" s="212" t="s">
        <v>95</v>
      </c>
      <c r="F277"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25"/>
      <c r="H277" s="2525"/>
      <c r="I277" s="2525"/>
      <c r="J277" s="2525"/>
      <c r="K277" s="2525"/>
      <c r="L277" s="2525"/>
      <c r="M277" s="362"/>
      <c r="N277" s="399"/>
      <c r="AH277" s="439">
        <v>26</v>
      </c>
    </row>
    <row s="4921" customFormat="1" customHeight="1" ht="60.75" hidden="1">
      <c r="A278" s="1845" t="s">
        <v>160</v>
      </c>
      <c r="B278" s="1845" t="s">
        <v>161</v>
      </c>
      <c r="C278" s="434"/>
      <c r="D278" s="2527"/>
      <c r="E278" s="2269"/>
      <c r="F278" s="2448"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92" t="str">
        <f>INDEX(PT_DIFFERENTIATION_NTAR,MATCH(B278,PT_DIFFERENTIATION_NTAR_ID,0))</f>
        <v>Тариф на коллекторах источника тепловой энергии</v>
      </c>
      <c r="H278" s="1927"/>
      <c r="I278" s="1804"/>
      <c r="J278" s="1838"/>
      <c r="K278" s="1843"/>
      <c r="L278" s="1927" t="s">
        <v>325</v>
      </c>
      <c r="M27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99"/>
      <c r="O278" s="1689"/>
      <c r="P278" s="1689"/>
      <c r="AH278" s="1696">
        <v>0</v>
      </c>
    </row>
    <row s="4921" customFormat="1" customHeight="1" ht="18.75" hidden="1">
      <c r="A279" s="1845"/>
      <c r="B279" s="1845"/>
      <c r="C279" s="434" t="s">
        <v>1177</v>
      </c>
      <c r="D279" s="2527"/>
      <c r="E279" s="2269"/>
      <c r="F279" s="2448"/>
      <c r="G279" s="2492"/>
      <c r="H279" s="1565"/>
      <c r="I279" s="716" t="s">
        <v>1176</v>
      </c>
      <c r="J279" s="636"/>
      <c r="K279" s="1565"/>
      <c r="L279" s="279"/>
      <c r="M279" s="2235"/>
      <c r="N279" s="399"/>
      <c r="O279" s="1689"/>
      <c r="P279" s="1689"/>
      <c r="AH279" s="1696">
        <v>0</v>
      </c>
    </row>
    <row s="4921" customFormat="1" customHeight="1" ht="0.75" hidden="1">
      <c r="A280" s="1845"/>
      <c r="B280" s="1845"/>
      <c r="C280" s="434" t="s">
        <v>1184</v>
      </c>
      <c r="D280" s="2527"/>
      <c r="E280" s="2269"/>
      <c r="F280" s="2448"/>
      <c r="G280" s="465"/>
      <c r="H280" s="1565"/>
      <c r="I280" s="716"/>
      <c r="J280" s="636"/>
      <c r="K280" s="1565"/>
      <c r="L280" s="279"/>
      <c r="M280" s="2235"/>
      <c r="N280" s="399"/>
      <c r="O280" s="1689"/>
      <c r="P280" s="1689"/>
      <c r="AH280" s="1696">
        <v>0</v>
      </c>
    </row>
    <row s="4921" customFormat="1" customHeight="1" ht="45" hidden="1">
      <c r="A281" s="1845" t="s">
        <v>172</v>
      </c>
      <c r="B281" s="1845" t="s">
        <v>173</v>
      </c>
      <c r="C281" s="434"/>
      <c r="D281" s="2527"/>
      <c r="E281" s="2269"/>
      <c r="F281" s="2448"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92" t="str">
        <f>INDEX(PT_DIFFERENTIATION_NTAR,MATCH(B281,PT_DIFFERENTIATION_NTAR_ID,0))</f>
        <v>Тариф для потребителей, подключенных к тепловым сетям
</v>
      </c>
      <c r="H281" s="1927"/>
      <c r="I281" s="1804"/>
      <c r="J281" s="1838"/>
      <c r="K281" s="1843"/>
      <c r="L281" s="1927" t="s">
        <v>325</v>
      </c>
      <c r="M281" s="2236"/>
      <c r="N281" s="399"/>
      <c r="O281" s="1689"/>
      <c r="P281" s="1689"/>
      <c r="AH281" s="1696">
        <v>0</v>
      </c>
    </row>
    <row s="4921" customFormat="1" customHeight="1" ht="18.75" hidden="1">
      <c r="A282" s="1845"/>
      <c r="B282" s="1845"/>
      <c r="C282" s="434" t="s">
        <v>1177</v>
      </c>
      <c r="D282" s="2527"/>
      <c r="E282" s="2269"/>
      <c r="F282" s="2448"/>
      <c r="G282" s="2492"/>
      <c r="H282" s="1565"/>
      <c r="I282" s="716" t="s">
        <v>1176</v>
      </c>
      <c r="J282" s="636"/>
      <c r="K282" s="1565"/>
      <c r="L282" s="279"/>
      <c r="M282" s="1926"/>
      <c r="N282" s="399"/>
      <c r="O282" s="1689"/>
      <c r="P282" s="1689"/>
      <c r="AH282" s="1696">
        <v>0</v>
      </c>
    </row>
    <row s="4921" customFormat="1" customHeight="1" ht="0.75" hidden="1">
      <c r="A283" s="1845"/>
      <c r="B283" s="1845"/>
      <c r="C283" s="434" t="s">
        <v>1184</v>
      </c>
      <c r="D283" s="2527"/>
      <c r="E283" s="2269"/>
      <c r="F283" s="2448"/>
      <c r="G283" s="465"/>
      <c r="H283" s="1565"/>
      <c r="I283" s="716"/>
      <c r="J283" s="636"/>
      <c r="K283" s="1565"/>
      <c r="L283" s="279"/>
      <c r="M283" s="406"/>
      <c r="N283" s="399"/>
      <c r="O283" s="1689"/>
      <c r="P283" s="1689"/>
      <c r="AH283" s="1696">
        <v>0</v>
      </c>
    </row>
    <row s="4921" customFormat="1" customHeight="1" ht="45" hidden="1">
      <c r="A284" s="1845" t="s">
        <v>180</v>
      </c>
      <c r="B284" s="1845" t="s">
        <v>181</v>
      </c>
      <c r="C284" s="434"/>
      <c r="D284" s="2527"/>
      <c r="E284" s="2269"/>
      <c r="F284" s="2448"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92" t="str">
        <f>INDEX(PT_DIFFERENTIATION_NTAR,MATCH(B284,PT_DIFFERENTIATION_NTAR_ID,0))</f>
        <v>Тариф на теплоноситель, поставляемый потребителям
</v>
      </c>
      <c r="H284" s="1927"/>
      <c r="I284" s="1804"/>
      <c r="J284" s="1838"/>
      <c r="K284" s="1843"/>
      <c r="L284" s="1927" t="s">
        <v>325</v>
      </c>
      <c r="M284" s="406"/>
      <c r="N284" s="399"/>
      <c r="O284" s="1689"/>
      <c r="P284" s="1689"/>
      <c r="AH284" s="1696">
        <v>0</v>
      </c>
    </row>
    <row s="4921" customFormat="1" customHeight="1" ht="18.75" hidden="1">
      <c r="A285" s="1845"/>
      <c r="B285" s="1845"/>
      <c r="C285" s="434" t="s">
        <v>1177</v>
      </c>
      <c r="D285" s="2527"/>
      <c r="E285" s="2269"/>
      <c r="F285" s="2448"/>
      <c r="G285" s="2492"/>
      <c r="H285" s="1565"/>
      <c r="I285" s="716" t="s">
        <v>1176</v>
      </c>
      <c r="J285" s="636"/>
      <c r="K285" s="1565"/>
      <c r="L285" s="279"/>
      <c r="M285" s="406"/>
      <c r="N285" s="399"/>
      <c r="O285" s="1689"/>
      <c r="P285" s="1689"/>
      <c r="AH285" s="1696">
        <v>0</v>
      </c>
    </row>
    <row s="4921" customFormat="1" customHeight="1" ht="0.75" hidden="1">
      <c r="A286" s="1845"/>
      <c r="B286" s="1845"/>
      <c r="C286" s="434" t="s">
        <v>1184</v>
      </c>
      <c r="D286" s="2527"/>
      <c r="E286" s="2269"/>
      <c r="F286" s="2448"/>
      <c r="G286" s="465"/>
      <c r="H286" s="1565"/>
      <c r="I286" s="716"/>
      <c r="J286" s="636"/>
      <c r="K286" s="1565"/>
      <c r="L286" s="279"/>
      <c r="M286" s="406"/>
      <c r="N286" s="399"/>
      <c r="O286" s="1689"/>
      <c r="P286" s="1689"/>
      <c r="AH286" s="1696">
        <v>0</v>
      </c>
    </row>
    <row s="4921" customFormat="1" customHeight="1" ht="45" hidden="1">
      <c r="A287" s="1845" t="s">
        <v>188</v>
      </c>
      <c r="B287" s="1845" t="s">
        <v>189</v>
      </c>
      <c r="C287" s="434"/>
      <c r="D287" s="2527"/>
      <c r="E287" s="2269"/>
      <c r="F287" s="2448"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92" t="str">
        <f>INDEX(PT_DIFFERENTIATION_NTAR,MATCH(B287,PT_DIFFERENTIATION_NTAR_ID,0))</f>
        <v>Тариф на горячую воду, поставляемую потребителям с коллекторов</v>
      </c>
      <c r="H287" s="1927"/>
      <c r="I287" s="1804"/>
      <c r="J287" s="1838"/>
      <c r="K287" s="1843"/>
      <c r="L287" s="1927" t="s">
        <v>325</v>
      </c>
      <c r="M287" s="406"/>
      <c r="N287" s="399"/>
      <c r="O287" s="1689"/>
      <c r="P287" s="1689"/>
      <c r="AH287" s="1696">
        <v>0</v>
      </c>
    </row>
    <row s="4921" customFormat="1" customHeight="1" ht="18.75" hidden="1">
      <c r="A288" s="1845"/>
      <c r="B288" s="1845"/>
      <c r="C288" s="434" t="s">
        <v>1177</v>
      </c>
      <c r="D288" s="2527"/>
      <c r="E288" s="2269"/>
      <c r="F288" s="2448"/>
      <c r="G288" s="2492"/>
      <c r="H288" s="1565"/>
      <c r="I288" s="716" t="s">
        <v>1176</v>
      </c>
      <c r="J288" s="636"/>
      <c r="K288" s="1565"/>
      <c r="L288" s="279"/>
      <c r="M288" s="406"/>
      <c r="N288" s="399"/>
      <c r="O288" s="1689"/>
      <c r="P288" s="1689"/>
      <c r="AH288" s="1696">
        <v>0</v>
      </c>
    </row>
    <row s="4921" customFormat="1" customHeight="1" ht="18.75">
      <c r="A289" s="3917" t="s">
        <v>188</v>
      </c>
      <c r="B289" s="3917" t="s">
        <v>195</v>
      </c>
      <c r="C289" s="4942"/>
      <c r="D289" s="4943"/>
      <c r="E289" s="4944"/>
      <c r="F289" s="4944"/>
      <c r="G289" s="4945" t="str">
        <f>INDEX(PT_DIFFERENTIATION_NTAR,MATCH(B289,PT_DIFFERENTIATION_NTAR_ID,0))</f>
        <v>Тариф на горячую воду, поставляемую потребителям из тепловых сетей​</v>
      </c>
      <c r="H289" s="4946"/>
      <c r="I289" s="4947"/>
      <c r="J289" s="4948"/>
      <c r="K289" s="4960"/>
      <c r="L289" s="4946" t="s">
        <v>325</v>
      </c>
      <c r="M289" s="4950"/>
      <c r="N289" s="4951"/>
      <c r="O289" s="3927"/>
      <c r="P289" s="3927"/>
      <c r="Q289" s="3928"/>
      <c r="R289" s="3928"/>
      <c r="S289" s="3928"/>
      <c r="T289" s="3928"/>
      <c r="U289" s="3928"/>
      <c r="V289" s="3928"/>
      <c r="W289" s="3928"/>
      <c r="X289" s="3928"/>
      <c r="Y289" s="3928"/>
      <c r="Z289" s="3928"/>
      <c r="AA289" s="3928"/>
      <c r="AB289" s="3928"/>
      <c r="AC289" s="3928"/>
      <c r="AD289" s="3928"/>
      <c r="AE289" s="3928"/>
      <c r="AF289" s="3928"/>
      <c r="AG289" s="3928"/>
      <c r="AH289" s="3928">
        <v>0</v>
      </c>
    </row>
    <row s="4921" customFormat="1" customHeight="1" ht="18.75">
      <c r="A290" s="3917"/>
      <c r="B290" s="3917"/>
      <c r="C290" s="4942" t="s">
        <v>1177</v>
      </c>
      <c r="D290" s="4943"/>
      <c r="E290" s="4944"/>
      <c r="F290" s="4944"/>
      <c r="G290" s="4945"/>
      <c r="H290" s="4976"/>
      <c r="I290" s="4977" t="s">
        <v>1176</v>
      </c>
      <c r="J290" s="4978"/>
      <c r="K290" s="4979"/>
      <c r="L290" s="4980"/>
      <c r="M290" s="4950"/>
      <c r="N290" s="4951"/>
      <c r="O290" s="3927"/>
      <c r="P290" s="3927"/>
      <c r="Q290" s="3928"/>
      <c r="R290" s="3928"/>
      <c r="S290" s="3928"/>
      <c r="T290" s="3928"/>
      <c r="U290" s="3928"/>
      <c r="V290" s="3928"/>
      <c r="W290" s="3928"/>
      <c r="X290" s="3928"/>
      <c r="Y290" s="3928"/>
      <c r="Z290" s="3928"/>
      <c r="AA290" s="3928"/>
      <c r="AB290" s="3928"/>
      <c r="AC290" s="3928"/>
      <c r="AD290" s="3928"/>
      <c r="AE290" s="3928"/>
      <c r="AF290" s="3928"/>
      <c r="AG290" s="3928"/>
      <c r="AH290" s="3928">
        <v>0</v>
      </c>
    </row>
    <row s="4921" customFormat="1" customHeight="1" ht="0.75" hidden="1">
      <c r="A291" s="1845"/>
      <c r="B291" s="1845"/>
      <c r="C291" s="434" t="s">
        <v>1184</v>
      </c>
      <c r="D291" s="2527"/>
      <c r="E291" s="2269"/>
      <c r="F291" s="2448"/>
      <c r="G291" s="465"/>
      <c r="H291" s="1565"/>
      <c r="I291" s="716"/>
      <c r="J291" s="636"/>
      <c r="K291" s="1565"/>
      <c r="L291" s="279"/>
      <c r="M291" s="406"/>
      <c r="N291" s="399"/>
      <c r="O291" s="1689"/>
      <c r="P291" s="1689"/>
      <c r="AH291" s="1696">
        <v>0</v>
      </c>
    </row>
    <row s="4921" customFormat="1" customHeight="1" ht="18.75" hidden="1">
      <c r="A292" s="1845" t="s">
        <v>200</v>
      </c>
      <c r="B292" s="1845" t="s">
        <v>201</v>
      </c>
      <c r="C292" s="434"/>
      <c r="D292" s="2527"/>
      <c r="E292" s="2269"/>
      <c r="F292" s="2448" t="str">
        <f>INDEX(PT_DIFFERENTIATION_VTAR,MATCH(A292,PT_DIFFERENTIATION_VTAR_ID,0))</f>
        <v>Тарифы на услуги по передаче тепловой энергии</v>
      </c>
      <c r="G292" s="2492" t="str">
        <f>INDEX(PT_DIFFERENTIATION_NTAR,MATCH(B292,PT_DIFFERENTIATION_NTAR_ID,0))</f>
        <v/>
      </c>
      <c r="H292" s="1927"/>
      <c r="I292" s="1804"/>
      <c r="J292" s="1838"/>
      <c r="K292" s="1843"/>
      <c r="L292" s="1927" t="s">
        <v>325</v>
      </c>
      <c r="M292" s="406"/>
      <c r="N292" s="399"/>
      <c r="O292" s="1689"/>
      <c r="P292" s="1689"/>
      <c r="AH292" s="1696">
        <v>0</v>
      </c>
    </row>
    <row s="4921" customFormat="1" customHeight="1" ht="18.75" hidden="1">
      <c r="A293" s="1845"/>
      <c r="B293" s="1845"/>
      <c r="C293" s="434" t="s">
        <v>1177</v>
      </c>
      <c r="D293" s="2527"/>
      <c r="E293" s="2269"/>
      <c r="F293" s="2448"/>
      <c r="G293" s="2492"/>
      <c r="H293" s="1565"/>
      <c r="I293" s="716" t="s">
        <v>1176</v>
      </c>
      <c r="J293" s="636"/>
      <c r="K293" s="1565"/>
      <c r="L293" s="279"/>
      <c r="M293" s="406"/>
      <c r="N293" s="399"/>
      <c r="O293" s="1689"/>
      <c r="P293" s="1689"/>
      <c r="AH293" s="1696">
        <v>0</v>
      </c>
    </row>
    <row s="4921" customFormat="1" customHeight="1" ht="0.75" hidden="1">
      <c r="A294" s="1845"/>
      <c r="B294" s="1845"/>
      <c r="C294" s="434" t="s">
        <v>1184</v>
      </c>
      <c r="D294" s="2527"/>
      <c r="E294" s="2269"/>
      <c r="F294" s="2448"/>
      <c r="G294" s="465"/>
      <c r="H294" s="1565"/>
      <c r="I294" s="716"/>
      <c r="J294" s="636"/>
      <c r="K294" s="1565"/>
      <c r="L294" s="279"/>
      <c r="M294" s="406"/>
      <c r="N294" s="399"/>
      <c r="O294" s="1689"/>
      <c r="P294" s="1689"/>
      <c r="AH294" s="1696">
        <v>0</v>
      </c>
    </row>
    <row s="4921" customFormat="1" customHeight="1" ht="18.75" hidden="1">
      <c r="A295" s="1845" t="s">
        <v>206</v>
      </c>
      <c r="B295" s="1845" t="s">
        <v>207</v>
      </c>
      <c r="C295" s="434"/>
      <c r="D295" s="2527"/>
      <c r="E295" s="2269"/>
      <c r="F295" s="2448" t="str">
        <f>INDEX(PT_DIFFERENTIATION_VTAR,MATCH(A295,PT_DIFFERENTIATION_VTAR_ID,0))</f>
        <v>Тарифы на услуги по передаче теплоносителя</v>
      </c>
      <c r="G295" s="2492" t="str">
        <f>INDEX(PT_DIFFERENTIATION_NTAR,MATCH(B295,PT_DIFFERENTIATION_NTAR_ID,0))</f>
        <v/>
      </c>
      <c r="H295" s="1927"/>
      <c r="I295" s="1804"/>
      <c r="J295" s="1838"/>
      <c r="K295" s="1843"/>
      <c r="L295" s="1927" t="s">
        <v>325</v>
      </c>
      <c r="M295" s="406"/>
      <c r="N295" s="399"/>
      <c r="O295" s="1689"/>
      <c r="P295" s="1689"/>
      <c r="AH295" s="1696">
        <v>0</v>
      </c>
    </row>
    <row s="4921" customFormat="1" customHeight="1" ht="18.75" hidden="1">
      <c r="A296" s="1845"/>
      <c r="B296" s="1845"/>
      <c r="C296" s="434" t="s">
        <v>1177</v>
      </c>
      <c r="D296" s="2527"/>
      <c r="E296" s="2269"/>
      <c r="F296" s="2448"/>
      <c r="G296" s="2492"/>
      <c r="H296" s="1565"/>
      <c r="I296" s="716" t="s">
        <v>1176</v>
      </c>
      <c r="J296" s="636"/>
      <c r="K296" s="1565"/>
      <c r="L296" s="279"/>
      <c r="M296" s="406"/>
      <c r="N296" s="399"/>
      <c r="O296" s="1689"/>
      <c r="P296" s="1689"/>
      <c r="AH296" s="1696">
        <v>0</v>
      </c>
    </row>
    <row s="4921" customFormat="1" customHeight="1" ht="0.75" hidden="1">
      <c r="A297" s="1845"/>
      <c r="B297" s="1845"/>
      <c r="C297" s="434" t="s">
        <v>1184</v>
      </c>
      <c r="D297" s="2527"/>
      <c r="E297" s="2269"/>
      <c r="F297" s="2448"/>
      <c r="G297" s="465"/>
      <c r="H297" s="1565"/>
      <c r="I297" s="716"/>
      <c r="J297" s="636"/>
      <c r="K297" s="1565"/>
      <c r="L297" s="279"/>
      <c r="M297" s="406"/>
      <c r="N297" s="399"/>
      <c r="O297" s="1689"/>
      <c r="P297" s="1689"/>
      <c r="AH297" s="1696">
        <v>0</v>
      </c>
    </row>
    <row s="4921" customFormat="1" customHeight="1" ht="18.75" hidden="1">
      <c r="A298" s="1845" t="s">
        <v>212</v>
      </c>
      <c r="B298" s="1845" t="s">
        <v>213</v>
      </c>
      <c r="C298" s="434"/>
      <c r="D298" s="2527"/>
      <c r="E298" s="2269"/>
      <c r="F298" s="2448"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92" t="str">
        <f>INDEX(PT_DIFFERENTIATION_NTAR,MATCH(B298,PT_DIFFERENTIATION_NTAR_ID,0))</f>
        <v/>
      </c>
      <c r="H298" s="1927"/>
      <c r="I298" s="1804"/>
      <c r="J298" s="1838"/>
      <c r="K298" s="1843"/>
      <c r="L298" s="1927" t="s">
        <v>325</v>
      </c>
      <c r="M298" s="406"/>
      <c r="N298" s="399"/>
      <c r="O298" s="1689"/>
      <c r="P298" s="1689"/>
      <c r="AH298" s="1696">
        <v>0</v>
      </c>
    </row>
    <row s="4921" customFormat="1" customHeight="1" ht="18.75" hidden="1">
      <c r="A299" s="1845"/>
      <c r="B299" s="1845"/>
      <c r="C299" s="434" t="s">
        <v>1177</v>
      </c>
      <c r="D299" s="2527"/>
      <c r="E299" s="2269"/>
      <c r="F299" s="2448"/>
      <c r="G299" s="2492"/>
      <c r="H299" s="1565"/>
      <c r="I299" s="716" t="s">
        <v>1176</v>
      </c>
      <c r="J299" s="636"/>
      <c r="K299" s="1565"/>
      <c r="L299" s="279"/>
      <c r="M299" s="406"/>
      <c r="N299" s="399"/>
      <c r="O299" s="1689"/>
      <c r="P299" s="1689"/>
      <c r="AH299" s="1696">
        <v>0</v>
      </c>
    </row>
    <row s="4921" customFormat="1" customHeight="1" ht="0.75" hidden="1">
      <c r="A300" s="1845"/>
      <c r="B300" s="1845"/>
      <c r="C300" s="434" t="s">
        <v>1184</v>
      </c>
      <c r="D300" s="2527"/>
      <c r="E300" s="2269"/>
      <c r="F300" s="2448"/>
      <c r="G300" s="465"/>
      <c r="H300" s="1565"/>
      <c r="I300" s="716"/>
      <c r="J300" s="636"/>
      <c r="K300" s="1565"/>
      <c r="L300" s="279"/>
      <c r="M300" s="406"/>
      <c r="N300" s="399"/>
      <c r="O300" s="1689"/>
      <c r="P300" s="1689"/>
      <c r="AH300" s="1696">
        <v>0</v>
      </c>
    </row>
    <row s="4921" customFormat="1" customHeight="1" ht="18.75" hidden="1">
      <c r="A301" s="1845" t="s">
        <v>218</v>
      </c>
      <c r="B301" s="1845" t="s">
        <v>219</v>
      </c>
      <c r="C301" s="434"/>
      <c r="D301" s="2527"/>
      <c r="E301" s="2269"/>
      <c r="F301" s="2448" t="str">
        <f>INDEX(PT_DIFFERENTIATION_VTAR,MATCH(A301,PT_DIFFERENTIATION_VTAR_ID,0))</f>
        <v>Плата за подключение (технологическое присоединение) к системе теплоснабжения</v>
      </c>
      <c r="G301" s="2492" t="str">
        <f>INDEX(PT_DIFFERENTIATION_NTAR,MATCH(B301,PT_DIFFERENTIATION_NTAR_ID,0))</f>
        <v/>
      </c>
      <c r="H301" s="1927"/>
      <c r="I301" s="1804"/>
      <c r="J301" s="1838"/>
      <c r="K301" s="1843"/>
      <c r="L301" s="1927" t="s">
        <v>325</v>
      </c>
      <c r="M301" s="406"/>
      <c r="N301" s="399"/>
      <c r="O301" s="1689"/>
      <c r="P301" s="1689"/>
      <c r="AH301" s="1696">
        <v>0</v>
      </c>
    </row>
    <row s="4921" customFormat="1" customHeight="1" ht="18.75" hidden="1">
      <c r="A302" s="1845"/>
      <c r="B302" s="1845"/>
      <c r="C302" s="434" t="s">
        <v>1177</v>
      </c>
      <c r="D302" s="2527"/>
      <c r="E302" s="2269"/>
      <c r="F302" s="2448"/>
      <c r="G302" s="2492"/>
      <c r="H302" s="1565"/>
      <c r="I302" s="716" t="s">
        <v>1176</v>
      </c>
      <c r="J302" s="636"/>
      <c r="K302" s="1565"/>
      <c r="L302" s="279"/>
      <c r="M302" s="406"/>
      <c r="N302" s="399"/>
      <c r="O302" s="1689"/>
      <c r="P302" s="1689"/>
      <c r="AH302" s="1696">
        <v>0</v>
      </c>
    </row>
    <row s="4921" customFormat="1" customHeight="1" ht="0.75" hidden="1">
      <c r="A303" s="1845"/>
      <c r="B303" s="1845"/>
      <c r="C303" s="434" t="s">
        <v>1184</v>
      </c>
      <c r="D303" s="2527"/>
      <c r="E303" s="2269"/>
      <c r="F303" s="2448"/>
      <c r="G303" s="465"/>
      <c r="H303" s="1565"/>
      <c r="I303" s="716"/>
      <c r="J303" s="636"/>
      <c r="K303" s="1565"/>
      <c r="L303" s="279"/>
      <c r="M303" s="406"/>
      <c r="N303" s="399"/>
      <c r="O303" s="1689"/>
      <c r="P303" s="1689"/>
      <c r="AH303" s="1696">
        <v>0</v>
      </c>
    </row>
    <row s="4921" customFormat="1" customHeight="1" ht="18.75" hidden="1">
      <c r="A304" s="1845" t="s">
        <v>224</v>
      </c>
      <c r="B304" s="1845" t="s">
        <v>225</v>
      </c>
      <c r="C304" s="434"/>
      <c r="D304" s="2527"/>
      <c r="E304" s="2269"/>
      <c r="F304" s="2448" t="str">
        <f>INDEX(PT_DIFFERENTIATION_VTAR,MATCH(A304,PT_DIFFERENTIATION_VTAR_ID,0))</f>
        <v>Плата за подключение (технологическое присоединение) к системе теплоснабжения (индивидуальная)</v>
      </c>
      <c r="G304" s="2492" t="str">
        <f>INDEX(PT_DIFFERENTIATION_NTAR,MATCH(B304,PT_DIFFERENTIATION_NTAR_ID,0))</f>
        <v/>
      </c>
      <c r="H304" s="2054"/>
      <c r="I304" s="1804"/>
      <c r="J304" s="1838"/>
      <c r="K304" s="1843"/>
      <c r="L304" s="2054" t="s">
        <v>325</v>
      </c>
      <c r="M304" s="406"/>
      <c r="N304" s="399"/>
      <c r="O304" s="1689"/>
      <c r="P304" s="1689"/>
      <c r="AH304" s="1696">
        <v>0</v>
      </c>
    </row>
    <row s="4921" customFormat="1" customHeight="1" ht="18.75" hidden="1">
      <c r="A305" s="1845"/>
      <c r="B305" s="1845"/>
      <c r="C305" s="434" t="s">
        <v>1177</v>
      </c>
      <c r="D305" s="2527"/>
      <c r="E305" s="2269"/>
      <c r="F305" s="2448"/>
      <c r="G305" s="2492"/>
      <c r="H305" s="1565"/>
      <c r="I305" s="716" t="s">
        <v>1176</v>
      </c>
      <c r="J305" s="636"/>
      <c r="K305" s="1565"/>
      <c r="L305" s="279"/>
      <c r="M305" s="406"/>
      <c r="N305" s="399"/>
      <c r="O305" s="1689"/>
      <c r="P305" s="1689"/>
      <c r="AH305" s="1696">
        <v>0</v>
      </c>
    </row>
    <row s="4921" customFormat="1" customHeight="1" ht="0.75" hidden="1">
      <c r="A306" s="1845"/>
      <c r="B306" s="1845"/>
      <c r="C306" s="434" t="s">
        <v>1184</v>
      </c>
      <c r="D306" s="2527"/>
      <c r="E306" s="2269"/>
      <c r="F306" s="2448"/>
      <c r="G306" s="465"/>
      <c r="H306" s="1565"/>
      <c r="I306" s="716"/>
      <c r="J306" s="636"/>
      <c r="K306" s="1565"/>
      <c r="L306" s="279"/>
      <c r="M306" s="406"/>
      <c r="N306" s="399"/>
      <c r="O306" s="1689"/>
      <c r="P306" s="1689"/>
      <c r="AH306" s="1696">
        <v>0</v>
      </c>
    </row>
    <row s="4921" customFormat="1" customHeight="1" ht="18.75" hidden="1">
      <c r="A307" s="1845" t="s">
        <v>244</v>
      </c>
      <c r="B307" s="1845" t="s">
        <v>245</v>
      </c>
      <c r="C307" s="434"/>
      <c r="D307" s="2527"/>
      <c r="E307" s="2269"/>
      <c r="F307" s="2448" t="str">
        <f>INDEX(PT_DIFFERENTIATION_VTAR,MATCH(A307,PT_DIFFERENTIATION_VTAR_ID,0))</f>
        <v>Тариф на питьевую воду (питьевое водоснабжение)</v>
      </c>
      <c r="G307" s="2492" t="str">
        <f>INDEX(PT_DIFFERENTIATION_NTAR,MATCH(B307,PT_DIFFERENTIATION_NTAR_ID,0))</f>
        <v/>
      </c>
      <c r="H307" s="1927"/>
      <c r="I307" s="1804"/>
      <c r="J307" s="1838"/>
      <c r="K307" s="1843"/>
      <c r="L307" s="1927" t="s">
        <v>325</v>
      </c>
      <c r="M307" s="406"/>
      <c r="N307" s="399"/>
      <c r="O307" s="1689"/>
      <c r="P307" s="1689"/>
      <c r="AH307" s="1696">
        <v>0</v>
      </c>
    </row>
    <row s="4921" customFormat="1" customHeight="1" ht="18.75" hidden="1">
      <c r="A308" s="1845"/>
      <c r="B308" s="1845"/>
      <c r="C308" s="434" t="s">
        <v>1177</v>
      </c>
      <c r="D308" s="2527"/>
      <c r="E308" s="2269"/>
      <c r="F308" s="2448"/>
      <c r="G308" s="2492"/>
      <c r="H308" s="1565"/>
      <c r="I308" s="716" t="s">
        <v>1176</v>
      </c>
      <c r="J308" s="636"/>
      <c r="K308" s="1565"/>
      <c r="L308" s="279"/>
      <c r="M308" s="406"/>
      <c r="N308" s="399"/>
      <c r="O308" s="1689"/>
      <c r="P308" s="1689"/>
      <c r="AH308" s="1696">
        <v>0</v>
      </c>
    </row>
    <row s="4921" customFormat="1" customHeight="1" ht="0.75" hidden="1">
      <c r="A309" s="1845"/>
      <c r="B309" s="1845"/>
      <c r="C309" s="434" t="s">
        <v>1184</v>
      </c>
      <c r="D309" s="2527"/>
      <c r="E309" s="2269"/>
      <c r="F309" s="2448"/>
      <c r="G309" s="465"/>
      <c r="H309" s="1565"/>
      <c r="I309" s="716"/>
      <c r="J309" s="636"/>
      <c r="K309" s="1565"/>
      <c r="L309" s="279"/>
      <c r="M309" s="406"/>
      <c r="N309" s="399"/>
      <c r="O309" s="1689"/>
      <c r="P309" s="1689"/>
      <c r="AH309" s="1696">
        <v>0</v>
      </c>
    </row>
    <row s="4921" customFormat="1" customHeight="1" ht="18.75" hidden="1">
      <c r="A310" s="1845" t="s">
        <v>249</v>
      </c>
      <c r="B310" s="1845" t="s">
        <v>250</v>
      </c>
      <c r="C310" s="434"/>
      <c r="D310" s="2527"/>
      <c r="E310" s="2269"/>
      <c r="F310" s="2448" t="str">
        <f>INDEX(PT_DIFFERENTIATION_VTAR,MATCH(A310,PT_DIFFERENTIATION_VTAR_ID,0))</f>
        <v>Тариф на техническую воду</v>
      </c>
      <c r="G310" s="2492" t="str">
        <f>INDEX(PT_DIFFERENTIATION_NTAR,MATCH(B310,PT_DIFFERENTIATION_NTAR_ID,0))</f>
        <v/>
      </c>
      <c r="H310" s="1927"/>
      <c r="I310" s="1804"/>
      <c r="J310" s="1838"/>
      <c r="K310" s="1843"/>
      <c r="L310" s="1927" t="s">
        <v>325</v>
      </c>
      <c r="M310" s="406"/>
      <c r="N310" s="399"/>
      <c r="O310" s="1689"/>
      <c r="P310" s="1689"/>
      <c r="AH310" s="1696">
        <v>0</v>
      </c>
    </row>
    <row s="4921" customFormat="1" customHeight="1" ht="18.75" hidden="1">
      <c r="A311" s="1845"/>
      <c r="B311" s="1845"/>
      <c r="C311" s="434" t="s">
        <v>1177</v>
      </c>
      <c r="D311" s="2527"/>
      <c r="E311" s="2269"/>
      <c r="F311" s="2448"/>
      <c r="G311" s="2492"/>
      <c r="H311" s="1565"/>
      <c r="I311" s="716" t="s">
        <v>1176</v>
      </c>
      <c r="J311" s="636"/>
      <c r="K311" s="1565"/>
      <c r="L311" s="279"/>
      <c r="M311" s="406"/>
      <c r="N311" s="399"/>
      <c r="O311" s="1689"/>
      <c r="P311" s="1689"/>
      <c r="AH311" s="1696">
        <v>0</v>
      </c>
    </row>
    <row s="4921" customFormat="1" customHeight="1" ht="0.75" hidden="1">
      <c r="A312" s="1845"/>
      <c r="B312" s="1845"/>
      <c r="C312" s="434" t="s">
        <v>1184</v>
      </c>
      <c r="D312" s="2527"/>
      <c r="E312" s="2269"/>
      <c r="F312" s="2448"/>
      <c r="G312" s="465"/>
      <c r="H312" s="1565"/>
      <c r="I312" s="716"/>
      <c r="J312" s="636"/>
      <c r="K312" s="1565"/>
      <c r="L312" s="279"/>
      <c r="M312" s="406"/>
      <c r="N312" s="399"/>
      <c r="O312" s="1689"/>
      <c r="P312" s="1689"/>
      <c r="AH312" s="1696">
        <v>0</v>
      </c>
    </row>
    <row s="4921" customFormat="1" customHeight="1" ht="18.75" hidden="1">
      <c r="A313" s="1845" t="s">
        <v>254</v>
      </c>
      <c r="B313" s="1845" t="s">
        <v>255</v>
      </c>
      <c r="C313" s="434"/>
      <c r="D313" s="2527"/>
      <c r="E313" s="2269"/>
      <c r="F313" s="2448" t="str">
        <f>INDEX(PT_DIFFERENTIATION_VTAR,MATCH(A313,PT_DIFFERENTIATION_VTAR_ID,0))</f>
        <v>Тариф на транспортировку воды</v>
      </c>
      <c r="G313" s="2492" t="str">
        <f>INDEX(PT_DIFFERENTIATION_NTAR,MATCH(B313,PT_DIFFERENTIATION_NTAR_ID,0))</f>
        <v/>
      </c>
      <c r="H313" s="1927"/>
      <c r="I313" s="1804"/>
      <c r="J313" s="1838"/>
      <c r="K313" s="1843"/>
      <c r="L313" s="1927" t="s">
        <v>325</v>
      </c>
      <c r="M313" s="406"/>
      <c r="N313" s="399"/>
      <c r="O313" s="1689"/>
      <c r="P313" s="1689"/>
      <c r="AH313" s="1696">
        <v>0</v>
      </c>
    </row>
    <row s="4921" customFormat="1" customHeight="1" ht="18.75" hidden="1">
      <c r="A314" s="1845"/>
      <c r="B314" s="1845"/>
      <c r="C314" s="434" t="s">
        <v>1177</v>
      </c>
      <c r="D314" s="2527"/>
      <c r="E314" s="2269"/>
      <c r="F314" s="2448"/>
      <c r="G314" s="2492"/>
      <c r="H314" s="1565"/>
      <c r="I314" s="716" t="s">
        <v>1176</v>
      </c>
      <c r="J314" s="636"/>
      <c r="K314" s="1565"/>
      <c r="L314" s="279"/>
      <c r="M314" s="406"/>
      <c r="N314" s="399"/>
      <c r="O314" s="1689"/>
      <c r="P314" s="1689"/>
      <c r="AH314" s="1696">
        <v>0</v>
      </c>
    </row>
    <row s="4921" customFormat="1" customHeight="1" ht="0.75" hidden="1">
      <c r="A315" s="1845"/>
      <c r="B315" s="1845"/>
      <c r="C315" s="434" t="s">
        <v>1184</v>
      </c>
      <c r="D315" s="2527"/>
      <c r="E315" s="2269"/>
      <c r="F315" s="2448"/>
      <c r="G315" s="465"/>
      <c r="H315" s="1565"/>
      <c r="I315" s="716"/>
      <c r="J315" s="636"/>
      <c r="K315" s="1565"/>
      <c r="L315" s="279"/>
      <c r="M315" s="406"/>
      <c r="N315" s="399"/>
      <c r="O315" s="1689"/>
      <c r="P315" s="1689"/>
      <c r="AH315" s="1696">
        <v>0</v>
      </c>
    </row>
    <row s="4921" customFormat="1" customHeight="1" ht="18.75" hidden="1">
      <c r="A316" s="1845" t="s">
        <v>259</v>
      </c>
      <c r="B316" s="1845" t="s">
        <v>260</v>
      </c>
      <c r="C316" s="434"/>
      <c r="D316" s="2527"/>
      <c r="E316" s="2269"/>
      <c r="F316" s="2448" t="str">
        <f>INDEX(PT_DIFFERENTIATION_VTAR,MATCH(A316,PT_DIFFERENTIATION_VTAR_ID,0))</f>
        <v>Тариф на подвоз воды</v>
      </c>
      <c r="G316" s="2492" t="str">
        <f>INDEX(PT_DIFFERENTIATION_NTAR,MATCH(B316,PT_DIFFERENTIATION_NTAR_ID,0))</f>
        <v/>
      </c>
      <c r="H316" s="1927"/>
      <c r="I316" s="1804"/>
      <c r="J316" s="1838"/>
      <c r="K316" s="1843"/>
      <c r="L316" s="1927" t="s">
        <v>325</v>
      </c>
      <c r="M316" s="406"/>
      <c r="N316" s="399"/>
      <c r="O316" s="1689"/>
      <c r="P316" s="1689"/>
      <c r="AH316" s="1696">
        <v>0</v>
      </c>
    </row>
    <row s="4921" customFormat="1" customHeight="1" ht="18.75" hidden="1">
      <c r="A317" s="1845"/>
      <c r="B317" s="1845"/>
      <c r="C317" s="434" t="s">
        <v>1177</v>
      </c>
      <c r="D317" s="2527"/>
      <c r="E317" s="2269"/>
      <c r="F317" s="2448"/>
      <c r="G317" s="2492"/>
      <c r="H317" s="1565"/>
      <c r="I317" s="716" t="s">
        <v>1176</v>
      </c>
      <c r="J317" s="636"/>
      <c r="K317" s="1565"/>
      <c r="L317" s="279"/>
      <c r="M317" s="406"/>
      <c r="N317" s="399"/>
      <c r="O317" s="1689"/>
      <c r="P317" s="1689"/>
      <c r="AH317" s="1696">
        <v>0</v>
      </c>
    </row>
    <row s="4921" customFormat="1" customHeight="1" ht="0.75" hidden="1">
      <c r="A318" s="1845"/>
      <c r="B318" s="1845"/>
      <c r="C318" s="434" t="s">
        <v>1184</v>
      </c>
      <c r="D318" s="2527"/>
      <c r="E318" s="2269"/>
      <c r="F318" s="2448"/>
      <c r="G318" s="465"/>
      <c r="H318" s="1565"/>
      <c r="I318" s="716"/>
      <c r="J318" s="636"/>
      <c r="K318" s="1565"/>
      <c r="L318" s="279"/>
      <c r="M318" s="406"/>
      <c r="N318" s="399"/>
      <c r="O318" s="1689"/>
      <c r="P318" s="1689"/>
      <c r="AH318" s="1696">
        <v>0</v>
      </c>
    </row>
    <row s="4921" customFormat="1" customHeight="1" ht="18.75" hidden="1">
      <c r="A319" s="1845" t="s">
        <v>264</v>
      </c>
      <c r="B319" s="1845" t="s">
        <v>265</v>
      </c>
      <c r="C319" s="434"/>
      <c r="D319" s="2527"/>
      <c r="E319" s="2269"/>
      <c r="F319" s="2448"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92" t="str">
        <f>INDEX(PT_DIFFERENTIATION_NTAR,MATCH(B319,PT_DIFFERENTIATION_NTAR_ID,0))</f>
        <v/>
      </c>
      <c r="H319" s="1927"/>
      <c r="I319" s="1804"/>
      <c r="J319" s="1838"/>
      <c r="K319" s="1843"/>
      <c r="L319" s="1927" t="s">
        <v>325</v>
      </c>
      <c r="M319" s="406"/>
      <c r="N319" s="399"/>
      <c r="O319" s="1689"/>
      <c r="P319" s="1689"/>
      <c r="AH319" s="1696">
        <v>0</v>
      </c>
    </row>
    <row s="4921" customFormat="1" customHeight="1" ht="18.75" hidden="1">
      <c r="A320" s="1845"/>
      <c r="B320" s="1845"/>
      <c r="C320" s="434" t="s">
        <v>1177</v>
      </c>
      <c r="D320" s="2527"/>
      <c r="E320" s="2269"/>
      <c r="F320" s="2448"/>
      <c r="G320" s="2492"/>
      <c r="H320" s="1565"/>
      <c r="I320" s="716" t="s">
        <v>1176</v>
      </c>
      <c r="J320" s="636"/>
      <c r="K320" s="1565"/>
      <c r="L320" s="279"/>
      <c r="M320" s="406"/>
      <c r="N320" s="399"/>
      <c r="O320" s="1689"/>
      <c r="P320" s="1689"/>
      <c r="AH320" s="1696">
        <v>0</v>
      </c>
    </row>
    <row s="4921" customFormat="1" customHeight="1" ht="0.75" hidden="1">
      <c r="A321" s="1845"/>
      <c r="B321" s="1845"/>
      <c r="C321" s="434" t="s">
        <v>1184</v>
      </c>
      <c r="D321" s="2527"/>
      <c r="E321" s="2269"/>
      <c r="F321" s="2448"/>
      <c r="G321" s="465"/>
      <c r="H321" s="1565"/>
      <c r="I321" s="716"/>
      <c r="J321" s="636"/>
      <c r="K321" s="1565"/>
      <c r="L321" s="279"/>
      <c r="M321" s="406"/>
      <c r="N321" s="399"/>
      <c r="O321" s="1689"/>
      <c r="P321" s="1689"/>
      <c r="AH321" s="1696">
        <v>0</v>
      </c>
    </row>
    <row s="4921" customFormat="1" customHeight="1" ht="18.75" hidden="1">
      <c r="A322" s="1845" t="s">
        <v>269</v>
      </c>
      <c r="B322" s="1845" t="s">
        <v>270</v>
      </c>
      <c r="C322" s="434"/>
      <c r="D322" s="2527"/>
      <c r="E322" s="2269"/>
      <c r="F322" s="2448" t="str">
        <f>INDEX(PT_DIFFERENTIATION_VTAR,MATCH(A322,PT_DIFFERENTIATION_VTAR_ID,0))</f>
        <v>Тариф на горячую воду (горячее водоснабжение)</v>
      </c>
      <c r="G322" s="2492" t="str">
        <f>INDEX(PT_DIFFERENTIATION_NTAR,MATCH(B322,PT_DIFFERENTIATION_NTAR_ID,0))</f>
        <v/>
      </c>
      <c r="H322" s="1927"/>
      <c r="I322" s="1804"/>
      <c r="J322" s="1838"/>
      <c r="K322" s="1843"/>
      <c r="L322" s="1927" t="s">
        <v>325</v>
      </c>
      <c r="M322" s="406"/>
      <c r="N322" s="399"/>
      <c r="O322" s="1689"/>
      <c r="P322" s="1689"/>
      <c r="AH322" s="1696">
        <v>0</v>
      </c>
    </row>
    <row s="4921" customFormat="1" customHeight="1" ht="18.75" hidden="1">
      <c r="A323" s="1845"/>
      <c r="B323" s="1845"/>
      <c r="C323" s="434" t="s">
        <v>1177</v>
      </c>
      <c r="D323" s="2527"/>
      <c r="E323" s="2269"/>
      <c r="F323" s="2448"/>
      <c r="G323" s="2492"/>
      <c r="H323" s="1565"/>
      <c r="I323" s="716" t="s">
        <v>1176</v>
      </c>
      <c r="J323" s="636"/>
      <c r="K323" s="1565"/>
      <c r="L323" s="279"/>
      <c r="M323" s="406"/>
      <c r="N323" s="399"/>
      <c r="O323" s="1689"/>
      <c r="P323" s="1689"/>
      <c r="AH323" s="1696">
        <v>0</v>
      </c>
    </row>
    <row s="4921" customFormat="1" customHeight="1" ht="0.75" hidden="1">
      <c r="A324" s="1845"/>
      <c r="B324" s="1845"/>
      <c r="C324" s="434" t="s">
        <v>1184</v>
      </c>
      <c r="D324" s="2527"/>
      <c r="E324" s="2269"/>
      <c r="F324" s="2448"/>
      <c r="G324" s="465"/>
      <c r="H324" s="1565"/>
      <c r="I324" s="716"/>
      <c r="J324" s="636"/>
      <c r="K324" s="1565"/>
      <c r="L324" s="279"/>
      <c r="M324" s="406"/>
      <c r="N324" s="399"/>
      <c r="O324" s="1689"/>
      <c r="P324" s="1689"/>
      <c r="AH324" s="1696">
        <v>0</v>
      </c>
    </row>
    <row s="4921" customFormat="1" customHeight="1" ht="18.75" hidden="1">
      <c r="A325" s="1845" t="s">
        <v>274</v>
      </c>
      <c r="B325" s="1845" t="s">
        <v>275</v>
      </c>
      <c r="C325" s="434"/>
      <c r="D325" s="2527"/>
      <c r="E325" s="2269"/>
      <c r="F325" s="2448" t="str">
        <f>INDEX(PT_DIFFERENTIATION_VTAR,MATCH(A325,PT_DIFFERENTIATION_VTAR_ID,0))</f>
        <v>Тариф на транспортировку горячей воды</v>
      </c>
      <c r="G325" s="2492" t="str">
        <f>INDEX(PT_DIFFERENTIATION_NTAR,MATCH(B325,PT_DIFFERENTIATION_NTAR_ID,0))</f>
        <v/>
      </c>
      <c r="H325" s="1927"/>
      <c r="I325" s="1804"/>
      <c r="J325" s="1838"/>
      <c r="K325" s="1843"/>
      <c r="L325" s="1927" t="s">
        <v>325</v>
      </c>
      <c r="M325" s="406"/>
      <c r="N325" s="399"/>
      <c r="O325" s="1689"/>
      <c r="P325" s="1689"/>
      <c r="AH325" s="1696">
        <v>0</v>
      </c>
    </row>
    <row s="4921" customFormat="1" customHeight="1" ht="18.75" hidden="1">
      <c r="A326" s="1845"/>
      <c r="B326" s="1845"/>
      <c r="C326" s="434" t="s">
        <v>1177</v>
      </c>
      <c r="D326" s="2527"/>
      <c r="E326" s="2269"/>
      <c r="F326" s="2448"/>
      <c r="G326" s="2492"/>
      <c r="H326" s="1565"/>
      <c r="I326" s="716" t="s">
        <v>1176</v>
      </c>
      <c r="J326" s="636"/>
      <c r="K326" s="1565"/>
      <c r="L326" s="279"/>
      <c r="M326" s="406"/>
      <c r="N326" s="399"/>
      <c r="O326" s="1689"/>
      <c r="P326" s="1689"/>
      <c r="AH326" s="1696">
        <v>0</v>
      </c>
    </row>
    <row s="4921" customFormat="1" customHeight="1" ht="0.75" hidden="1">
      <c r="A327" s="1845"/>
      <c r="B327" s="1845"/>
      <c r="C327" s="434" t="s">
        <v>1184</v>
      </c>
      <c r="D327" s="2527"/>
      <c r="E327" s="2269"/>
      <c r="F327" s="2448"/>
      <c r="G327" s="465"/>
      <c r="H327" s="1565"/>
      <c r="I327" s="716"/>
      <c r="J327" s="636"/>
      <c r="K327" s="1565"/>
      <c r="L327" s="279"/>
      <c r="M327" s="406"/>
      <c r="N327" s="399"/>
      <c r="O327" s="1689"/>
      <c r="P327" s="1689"/>
      <c r="AH327" s="1696">
        <v>0</v>
      </c>
    </row>
    <row s="4921" customFormat="1" customHeight="1" ht="18.75" hidden="1">
      <c r="A328" s="1845" t="s">
        <v>279</v>
      </c>
      <c r="B328" s="1845" t="s">
        <v>280</v>
      </c>
      <c r="C328" s="434"/>
      <c r="D328" s="2527"/>
      <c r="E328" s="2269"/>
      <c r="F328" s="2448"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92" t="str">
        <f>INDEX(PT_DIFFERENTIATION_NTAR,MATCH(B328,PT_DIFFERENTIATION_NTAR_ID,0))</f>
        <v/>
      </c>
      <c r="H328" s="1927"/>
      <c r="I328" s="1804"/>
      <c r="J328" s="1838"/>
      <c r="K328" s="1843"/>
      <c r="L328" s="1927" t="s">
        <v>325</v>
      </c>
      <c r="M328" s="406"/>
      <c r="N328" s="399"/>
      <c r="O328" s="1689"/>
      <c r="P328" s="1689"/>
      <c r="AH328" s="1696">
        <v>0</v>
      </c>
    </row>
    <row s="4921" customFormat="1" customHeight="1" ht="18.75" hidden="1">
      <c r="A329" s="1845"/>
      <c r="B329" s="1845"/>
      <c r="C329" s="434" t="s">
        <v>1177</v>
      </c>
      <c r="D329" s="2527"/>
      <c r="E329" s="2269"/>
      <c r="F329" s="2448"/>
      <c r="G329" s="2492"/>
      <c r="H329" s="1565"/>
      <c r="I329" s="716" t="s">
        <v>1176</v>
      </c>
      <c r="J329" s="636"/>
      <c r="K329" s="1565"/>
      <c r="L329" s="279"/>
      <c r="M329" s="406"/>
      <c r="N329" s="399"/>
      <c r="O329" s="1689"/>
      <c r="P329" s="1689"/>
      <c r="AH329" s="1696">
        <v>0</v>
      </c>
    </row>
    <row s="4921" customFormat="1" customHeight="1" ht="0.75" hidden="1">
      <c r="A330" s="1845"/>
      <c r="B330" s="1845"/>
      <c r="C330" s="434" t="s">
        <v>1184</v>
      </c>
      <c r="D330" s="2527"/>
      <c r="E330" s="2269"/>
      <c r="F330" s="2448"/>
      <c r="G330" s="465"/>
      <c r="H330" s="1565"/>
      <c r="I330" s="716"/>
      <c r="J330" s="636"/>
      <c r="K330" s="1565"/>
      <c r="L330" s="279"/>
      <c r="M330" s="406"/>
      <c r="N330" s="399"/>
      <c r="O330" s="1689"/>
      <c r="P330" s="1689"/>
      <c r="AH330" s="1696">
        <v>0</v>
      </c>
    </row>
    <row s="4921" customFormat="1" customHeight="1" ht="18.75" hidden="1">
      <c r="A331" s="1845" t="s">
        <v>284</v>
      </c>
      <c r="B331" s="1845" t="s">
        <v>285</v>
      </c>
      <c r="C331" s="434"/>
      <c r="D331" s="2527"/>
      <c r="E331" s="2269"/>
      <c r="F331" s="2448" t="str">
        <f>INDEX(PT_DIFFERENTIATION_VTAR,MATCH(A331,PT_DIFFERENTIATION_VTAR_ID,0))</f>
        <v>Тариф на водоотведение</v>
      </c>
      <c r="G331" s="2492" t="str">
        <f>INDEX(PT_DIFFERENTIATION_NTAR,MATCH(B331,PT_DIFFERENTIATION_NTAR_ID,0))</f>
        <v/>
      </c>
      <c r="H331" s="1927"/>
      <c r="I331" s="1804"/>
      <c r="J331" s="1838"/>
      <c r="K331" s="1843"/>
      <c r="L331" s="1927" t="s">
        <v>325</v>
      </c>
      <c r="M331" s="406"/>
      <c r="N331" s="399"/>
      <c r="O331" s="1689"/>
      <c r="P331" s="1689"/>
      <c r="AH331" s="1696">
        <v>0</v>
      </c>
    </row>
    <row s="4921" customFormat="1" customHeight="1" ht="18.75" hidden="1">
      <c r="A332" s="1845"/>
      <c r="B332" s="1845"/>
      <c r="C332" s="434" t="s">
        <v>1177</v>
      </c>
      <c r="D332" s="2527"/>
      <c r="E332" s="2269"/>
      <c r="F332" s="2448"/>
      <c r="G332" s="2492"/>
      <c r="H332" s="1565"/>
      <c r="I332" s="716" t="s">
        <v>1176</v>
      </c>
      <c r="J332" s="636"/>
      <c r="K332" s="1565"/>
      <c r="L332" s="279"/>
      <c r="M332" s="406"/>
      <c r="N332" s="399"/>
      <c r="O332" s="1689"/>
      <c r="P332" s="1689"/>
      <c r="AH332" s="1696">
        <v>0</v>
      </c>
    </row>
    <row s="4921" customFormat="1" customHeight="1" ht="0.75" hidden="1">
      <c r="A333" s="1845"/>
      <c r="B333" s="1845"/>
      <c r="C333" s="434" t="s">
        <v>1184</v>
      </c>
      <c r="D333" s="2527"/>
      <c r="E333" s="2269"/>
      <c r="F333" s="2448"/>
      <c r="G333" s="465"/>
      <c r="H333" s="1565"/>
      <c r="I333" s="716"/>
      <c r="J333" s="636"/>
      <c r="K333" s="1565"/>
      <c r="L333" s="279"/>
      <c r="M333" s="406"/>
      <c r="N333" s="399"/>
      <c r="O333" s="1689"/>
      <c r="P333" s="1689"/>
      <c r="AH333" s="1696">
        <v>0</v>
      </c>
    </row>
    <row s="4921" customFormat="1" customHeight="1" ht="18.75" hidden="1">
      <c r="A334" s="1845" t="s">
        <v>289</v>
      </c>
      <c r="B334" s="1845" t="s">
        <v>290</v>
      </c>
      <c r="C334" s="434"/>
      <c r="D334" s="2527"/>
      <c r="E334" s="2269"/>
      <c r="F334" s="2448" t="str">
        <f>INDEX(PT_DIFFERENTIATION_VTAR,MATCH(A334,PT_DIFFERENTIATION_VTAR_ID,0))</f>
        <v>Тариф на транспортировку сточных вод</v>
      </c>
      <c r="G334" s="2492" t="str">
        <f>INDEX(PT_DIFFERENTIATION_NTAR,MATCH(B334,PT_DIFFERENTIATION_NTAR_ID,0))</f>
        <v/>
      </c>
      <c r="H334" s="1927"/>
      <c r="I334" s="1804"/>
      <c r="J334" s="1838"/>
      <c r="K334" s="1843"/>
      <c r="L334" s="1927" t="s">
        <v>325</v>
      </c>
      <c r="M334" s="406"/>
      <c r="N334" s="399"/>
      <c r="O334" s="1689"/>
      <c r="P334" s="1689"/>
      <c r="AH334" s="1696">
        <v>0</v>
      </c>
    </row>
    <row s="4921" customFormat="1" customHeight="1" ht="18.75" hidden="1">
      <c r="A335" s="1845"/>
      <c r="B335" s="1845"/>
      <c r="C335" s="434" t="s">
        <v>1177</v>
      </c>
      <c r="D335" s="2527"/>
      <c r="E335" s="2269"/>
      <c r="F335" s="2448"/>
      <c r="G335" s="2492"/>
      <c r="H335" s="1565"/>
      <c r="I335" s="716" t="s">
        <v>1176</v>
      </c>
      <c r="J335" s="636"/>
      <c r="K335" s="1565"/>
      <c r="L335" s="279"/>
      <c r="M335" s="406"/>
      <c r="N335" s="399"/>
      <c r="O335" s="1689"/>
      <c r="P335" s="1689"/>
      <c r="AH335" s="1696">
        <v>0</v>
      </c>
    </row>
    <row s="4921" customFormat="1" customHeight="1" ht="0.75" hidden="1">
      <c r="A336" s="1845"/>
      <c r="B336" s="1845"/>
      <c r="C336" s="434" t="s">
        <v>1184</v>
      </c>
      <c r="D336" s="2527"/>
      <c r="E336" s="2269"/>
      <c r="F336" s="2448"/>
      <c r="G336" s="465"/>
      <c r="H336" s="1565"/>
      <c r="I336" s="716"/>
      <c r="J336" s="636"/>
      <c r="K336" s="1565"/>
      <c r="L336" s="279"/>
      <c r="M336" s="406"/>
      <c r="N336" s="399"/>
      <c r="O336" s="1689"/>
      <c r="P336" s="1689"/>
      <c r="AH336" s="1696">
        <v>0</v>
      </c>
    </row>
    <row s="4921" customFormat="1" customHeight="1" ht="18.75" hidden="1">
      <c r="A337" s="1845" t="s">
        <v>294</v>
      </c>
      <c r="B337" s="1845" t="s">
        <v>295</v>
      </c>
      <c r="C337" s="434"/>
      <c r="D337" s="2527"/>
      <c r="E337" s="2269"/>
      <c r="F337" s="2448" t="str">
        <f>INDEX(PT_DIFFERENTIATION_VTAR,MATCH(A337,PT_DIFFERENTIATION_VTAR_ID,0))</f>
        <v>Тариф на подключение (технологическое присоединение) к централизованной системе водоотведения</v>
      </c>
      <c r="G337" s="2492" t="str">
        <f>INDEX(PT_DIFFERENTIATION_NTAR,MATCH(B337,PT_DIFFERENTIATION_NTAR_ID,0))</f>
        <v/>
      </c>
      <c r="H337" s="1927"/>
      <c r="I337" s="1804"/>
      <c r="J337" s="1838"/>
      <c r="K337" s="1843"/>
      <c r="L337" s="1927" t="s">
        <v>325</v>
      </c>
      <c r="M337" s="406"/>
      <c r="N337" s="399"/>
      <c r="O337" s="1689"/>
      <c r="P337" s="1689"/>
      <c r="AH337" s="1696">
        <v>0</v>
      </c>
    </row>
    <row s="4921" customFormat="1" customHeight="1" ht="18.75" hidden="1">
      <c r="A338" s="1845"/>
      <c r="B338" s="1845"/>
      <c r="C338" s="434" t="s">
        <v>1177</v>
      </c>
      <c r="D338" s="2527"/>
      <c r="E338" s="2269"/>
      <c r="F338" s="2448"/>
      <c r="G338" s="2492"/>
      <c r="H338" s="1565"/>
      <c r="I338" s="716" t="s">
        <v>1176</v>
      </c>
      <c r="J338" s="636"/>
      <c r="K338" s="1565"/>
      <c r="L338" s="279"/>
      <c r="M338" s="406"/>
      <c r="N338" s="399"/>
      <c r="O338" s="1689"/>
      <c r="P338" s="1689"/>
      <c r="AH338" s="1696">
        <v>0</v>
      </c>
    </row>
    <row s="4921" customFormat="1" customHeight="1" ht="1.05">
      <c r="A339" s="1845"/>
      <c r="B339" s="1845"/>
      <c r="C339" s="434" t="s">
        <v>1184</v>
      </c>
      <c r="D339" s="2527"/>
      <c r="E339" s="2269"/>
      <c r="F339" s="2448"/>
      <c r="G339" s="465"/>
      <c r="H339" s="1565"/>
      <c r="I339" s="716"/>
      <c r="J339" s="636"/>
      <c r="K339" s="1565"/>
      <c r="L339" s="279"/>
      <c r="M339" s="406"/>
      <c r="N339" s="399"/>
      <c r="O339" s="1689"/>
      <c r="P339" s="1689"/>
      <c r="AH339" s="1696">
        <v>1</v>
      </c>
    </row>
    <row s="5419" customFormat="1" customHeight="1" ht="3">
      <c r="A340" s="1845"/>
      <c r="B340" s="1845"/>
      <c r="C340" s="1846"/>
      <c r="E340" s="467"/>
      <c r="F340" s="467"/>
      <c r="G340" s="467"/>
      <c r="H340" s="467"/>
      <c r="I340" s="467"/>
      <c r="J340" s="467"/>
      <c r="K340" s="467"/>
      <c r="L340" s="467"/>
      <c r="M340" s="467"/>
      <c r="O340" s="261"/>
      <c r="P340" s="261"/>
      <c r="AH340" s="205">
        <v>3</v>
      </c>
    </row>
    <row customHeight="1" ht="26.25">
      <c r="E341" s="267"/>
      <c r="F341" s="2350"/>
      <c r="G341" s="2350"/>
      <c r="H341" s="2350"/>
      <c r="I341" s="2350"/>
      <c r="J341" s="2350"/>
      <c r="K341" s="2350"/>
      <c r="L341" s="2350"/>
      <c r="M341" s="2350"/>
      <c r="AH341" s="439">
        <v>25</v>
      </c>
    </row>
    <row customHeight="1" ht="14.25" hidden="1">
      <c r="A342" s="1844" t="s">
        <v>85</v>
      </c>
      <c r="B342" s="1844">
        <v>0</v>
      </c>
      <c r="C342" s="434">
        <v>0</v>
      </c>
      <c r="D342" s="409">
        <v>3</v>
      </c>
      <c r="E342" s="439">
        <v>6</v>
      </c>
      <c r="F342" s="439">
        <v>46</v>
      </c>
      <c r="G342" s="439">
        <v>35</v>
      </c>
      <c r="H342" s="439">
        <v>3</v>
      </c>
      <c r="I342" s="439">
        <v>11</v>
      </c>
      <c r="J342" s="439">
        <v>11</v>
      </c>
      <c r="K342" s="439">
        <v>35</v>
      </c>
      <c r="L342" s="439">
        <v>35</v>
      </c>
      <c r="M342" s="439">
        <v>84</v>
      </c>
      <c r="N342" s="439">
        <v>10</v>
      </c>
      <c r="O342" s="415">
        <v>10</v>
      </c>
      <c r="P342" s="415">
        <v>10</v>
      </c>
      <c r="Q342" s="439">
        <v>10</v>
      </c>
      <c r="R342" s="439">
        <v>10</v>
      </c>
      <c r="S342" s="439">
        <v>10</v>
      </c>
      <c r="T342" s="439">
        <v>10</v>
      </c>
      <c r="U342" s="439">
        <v>10</v>
      </c>
      <c r="V342" s="439">
        <v>10</v>
      </c>
      <c r="W342" s="439">
        <v>10</v>
      </c>
      <c r="X342" s="439">
        <v>10</v>
      </c>
      <c r="Y342" s="439">
        <v>10</v>
      </c>
      <c r="Z342" s="439">
        <v>10</v>
      </c>
      <c r="AA342" s="439">
        <v>10</v>
      </c>
      <c r="AB342" s="439">
        <v>10</v>
      </c>
      <c r="AC342" s="439">
        <v>10</v>
      </c>
      <c r="AD342" s="439">
        <v>10</v>
      </c>
      <c r="AE342" s="439">
        <v>10</v>
      </c>
      <c r="AF342" s="439">
        <v>10</v>
      </c>
      <c r="AG342" s="439">
        <v>10</v>
      </c>
      <c r="AH342" s="439">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6:G167"/>
    <mergeCell ref="E50:E52"/>
    <mergeCell ref="F50:F52"/>
    <mergeCell ref="G98:G99"/>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4"/>
    <mergeCell ref="G38:G39"/>
    <mergeCell ref="G41:G42"/>
    <mergeCell ref="D38:D40"/>
    <mergeCell ref="E38:E40"/>
    <mergeCell ref="F38:F40"/>
    <mergeCell ref="D41:D43"/>
    <mergeCell ref="E41:E43"/>
    <mergeCell ref="F341:M341"/>
    <mergeCell ref="F277:L277"/>
    <mergeCell ref="D278:D280"/>
    <mergeCell ref="E278:E280"/>
    <mergeCell ref="F278:F280"/>
    <mergeCell ref="D281:D283"/>
    <mergeCell ref="E281:E283"/>
    <mergeCell ref="F281:F283"/>
    <mergeCell ref="D284:D286"/>
    <mergeCell ref="D292:D294"/>
    <mergeCell ref="E292:E294"/>
    <mergeCell ref="F292:F294"/>
    <mergeCell ref="D295:D297"/>
    <mergeCell ref="E295:E297"/>
    <mergeCell ref="F295:F297"/>
    <mergeCell ref="E284:E286"/>
    <mergeCell ref="F284:F286"/>
    <mergeCell ref="D287:D291"/>
    <mergeCell ref="E287: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2:D114"/>
    <mergeCell ref="E112:E114"/>
    <mergeCell ref="F112:F114"/>
    <mergeCell ref="F98:F102"/>
    <mergeCell ref="D103:D105"/>
    <mergeCell ref="E103:E105"/>
    <mergeCell ref="F103:F105"/>
    <mergeCell ref="D83:D85"/>
    <mergeCell ref="E83:E85"/>
    <mergeCell ref="F83:F85"/>
    <mergeCell ref="D89:D91"/>
    <mergeCell ref="E89:E91"/>
    <mergeCell ref="F89:F91"/>
    <mergeCell ref="D98:D102"/>
    <mergeCell ref="E98: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5"/>
    <mergeCell ref="E161:E165"/>
    <mergeCell ref="F161: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0"/>
    <mergeCell ref="E218:E220"/>
    <mergeCell ref="F218:F220"/>
    <mergeCell ref="D224:D228"/>
    <mergeCell ref="E224:E228"/>
    <mergeCell ref="F224: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1:G222"/>
    <mergeCell ref="G172:G173"/>
    <mergeCell ref="G175:G176"/>
    <mergeCell ref="G181:G182"/>
    <mergeCell ref="G224:G225"/>
    <mergeCell ref="G229:G230"/>
    <mergeCell ref="G232:G233"/>
    <mergeCell ref="G187:G188"/>
    <mergeCell ref="G190:G191"/>
    <mergeCell ref="G193:G194"/>
    <mergeCell ref="G196:G197"/>
    <mergeCell ref="G169:G170"/>
    <mergeCell ref="G35:G36"/>
    <mergeCell ref="G100:G101"/>
    <mergeCell ref="G163:G164"/>
    <mergeCell ref="G226:G227"/>
    <mergeCell ref="G289:G290"/>
  </mergeCells>
  <dataValidations count="4">
    <dataValidation type="decimal" allowBlank="1" showErrorMessage="1" errorTitle="Ошибка" error="Допускается ввод только действительных чисел!" sqref="K215 K218 K221 K224 K229 K232 K235 K238 K244 K247 K250 K253 K256 K259 K262 K265 K268 K271 K10 K89 K145 K142 K139 K136 K133 K130 K127 K124 K121 K118 K112 K109 K106 K103 K98 K95 K92 K152 K148 K155 K158 K161 K166 K169 K172 K175 K181 K184 K187 K190 K193 K199 K202 K205 K208 K211 K196 K274 K278 K281 K284 K287 K292 K295 K298 K301 K307 K310 K313 K316 K319 K322 K325 K328 K331 K334 K337 K5 K115 K178 K241 K304 K100 K163 K226 K28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3 I38:J38 I44:J44 I47:J47 I53:J53 I56:J56 I59:J59 I62:J62 I65:J65 I68:J68 I71:J71 I74:J74 I77:J77 I80:J80 I215:J215 I218:J218 I221:J221 I224:J224 I229:J229 I232:J232 I235:J235 I238:J238 I244:J244 I247:J247 I250:J250 I253:J253 I256:J256 I259:J259 I262:J262 I265:J265 I268:J268 I8:J8 I83:J83 I148:J148 I92:J92 I95:J95 I98:J98 I103:J103 I106:J106 I109:J109 I112:J112 I118:J118 I121:J121 I124:J124 I127:J127 I130:J130 I133:J133 I136:J136 I139:J139 I142:J142 I145:J145 I152:J152 I89:J89 I155:J155 I158:J158 I161:J161 I166:J166 I169:J169 I172:J172 I175:J175 I181:J181 I184:J184 I187:J187 I190:J190 I193:J193 I199:J199 I202:J202 I205:J205 I208:J208 I211:J211 I196:J196 I271:J271 I274:J274 I278:J278 I281:J281 I284:J284 I287:J287 I292:J292 I295:J295 I298:J298 I301:J301 I307:J307 I310:J310 I313:J313 I316:J316 I319:J319 I322:J322 I325:J325 I328:J328 I331:J331 I334:J334 I337:J337 I2:J2 I5:J5 I50:J50 I115:J115 I178:J178 I241:J241 I304:J304 I35 J35 I100 J100 I163 J163 I226 J226 I289 J28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D47A3-7196-2354-B32C-24BC3545DD0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625" width="9.140625" hidden="1" customWidth="1"/>
    <col min="2" max="2" style="4903" width="9.140625" hidden="1" customWidth="1"/>
    <col min="3" max="3" style="4943" width="3.00390625" customWidth="1"/>
    <col min="4" max="4" style="4921" width="6.00390625" customWidth="1"/>
    <col min="5" max="5" style="4921" width="53.00390625" customWidth="1"/>
    <col min="6" max="7" style="4921" width="35.00390625" customWidth="1"/>
    <col min="8" max="8" style="4921" width="89.00390625" customWidth="1"/>
    <col min="9" max="9" style="4921" width="10.00390625" customWidth="1"/>
    <col min="10" max="11" style="4866" width="10.00390625" customWidth="1"/>
    <col min="12" max="17" style="4921" width="10.00390625" customWidth="1"/>
    <col min="18" max="18" style="4921" width="10.57421875" hidden="1"/>
  </cols>
  <sheetData>
    <row customHeight="1" ht="22.5" hidden="1">
      <c r="N1" s="320"/>
      <c r="O1" s="320"/>
      <c r="Q1" s="320"/>
      <c r="R1" s="439" t="s">
        <v>14</v>
      </c>
    </row>
    <row s="4921" customFormat="1" customHeight="1" ht="18.75" hidden="1">
      <c r="A2" s="167"/>
      <c r="B2" s="1225"/>
      <c r="C2" s="1795" t="s">
        <v>193</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921" customFormat="1" customHeight="1" ht="18">
      <c r="A6" s="1734"/>
      <c r="B6" s="1225"/>
      <c r="C6" s="441"/>
      <c r="D6" s="2522" t="str">
        <f>IF(org=0,"Не определено",org)</f>
        <v>Филиал ПАО "ОГК-2"-Ставропольская ГРЭС</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319</v>
      </c>
      <c r="E8" s="2274"/>
      <c r="F8" s="2274"/>
      <c r="G8" s="2274"/>
      <c r="H8" s="2454" t="s">
        <v>320</v>
      </c>
      <c r="R8" s="439">
        <v>14</v>
      </c>
    </row>
    <row customHeight="1" ht="24">
      <c r="C9" s="441"/>
      <c r="D9" s="451" t="s">
        <v>91</v>
      </c>
      <c r="E9" s="173" t="s">
        <v>321</v>
      </c>
      <c r="F9" s="173" t="s">
        <v>322</v>
      </c>
      <c r="G9" s="173" t="s">
        <v>409</v>
      </c>
      <c r="H9" s="2454"/>
      <c r="R9" s="439">
        <v>23</v>
      </c>
    </row>
    <row customHeight="1" ht="14.699999999999998">
      <c r="A10" s="408"/>
      <c r="C10" s="441"/>
      <c r="D10" s="212" t="s">
        <v>112</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c r="G10" s="278"/>
      <c r="H10" s="2234" t="s">
        <v>1185</v>
      </c>
      <c r="R10" s="439">
        <v>14</v>
      </c>
    </row>
    <row customHeight="1" ht="14.699999999999998">
      <c r="A11" s="408"/>
      <c r="C11" s="441"/>
      <c r="D11" s="212" t="s">
        <v>113</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c r="G11" s="278"/>
      <c r="H11" s="2235"/>
      <c r="R11" s="439">
        <v>14</v>
      </c>
    </row>
    <row customHeight="1" ht="14.699999999999998">
      <c r="A12" s="167"/>
      <c r="C12" s="452"/>
      <c r="D12" s="212" t="s">
        <v>93</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4.699999999999998">
      <c r="A13" s="167"/>
      <c r="C13" s="452"/>
      <c r="D13" s="212" t="s">
        <v>94</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341</v>
      </c>
      <c r="F14" s="414"/>
      <c r="G14" s="266"/>
      <c r="H14" s="2236"/>
      <c r="R14" s="439">
        <v>14</v>
      </c>
    </row>
    <row s="4921"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85</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2864A-F6F9-2B49-B6F5-73F2D4125A1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200" width="9.140625" hidden="1" customWidth="1"/>
    <col min="2" max="2" style="4921" width="9.140625" hidden="1" customWidth="1"/>
    <col min="3" max="3" style="4826" width="4.00390625" customWidth="1"/>
    <col min="4" max="4" style="4921" width="6.00390625" customWidth="1"/>
    <col min="5" max="5" style="4921" width="47.00390625" customWidth="1"/>
    <col min="6" max="6" style="4921" width="9.00390625" customWidth="1"/>
    <col min="7" max="7" style="4921" width="25.7109375" hidden="1" customWidth="1"/>
    <col min="8" max="8" style="4921" width="34.00390625" hidden="1" customWidth="1"/>
    <col min="9" max="9" style="4921" width="25.7109375" customWidth="1"/>
    <col min="10" max="10" style="4921" width="33.00390625" customWidth="1"/>
    <col min="11" max="11" style="4903" width="50.00390625" customWidth="1"/>
    <col min="12" max="20" style="4921" width="10.00390625" customWidth="1"/>
    <col min="21" max="21" style="4991" width="10.00390625" customWidth="1"/>
    <col min="22" max="22" style="4921" width="10.57421875" hidden="1"/>
  </cols>
  <sheetData>
    <row s="4903" customFormat="1" customHeight="1" ht="22.5" hidden="1">
      <c r="C1" s="737"/>
      <c r="G1" s="482">
        <v>4</v>
      </c>
      <c r="I1" s="482">
        <v>4</v>
      </c>
      <c r="U1" s="485"/>
      <c r="V1" s="482" t="s">
        <v>14</v>
      </c>
    </row>
    <row s="4921" customFormat="1" customHeight="1" ht="15" hidden="1">
      <c r="A2" s="427"/>
      <c r="C2" s="241"/>
      <c r="D2" s="411"/>
      <c r="E2" s="738"/>
      <c r="F2" s="587"/>
      <c r="G2" s="681"/>
      <c r="H2" s="681"/>
      <c r="I2" s="681"/>
      <c r="J2" s="681"/>
      <c r="U2" s="739"/>
      <c r="V2" s="574">
        <v>0</v>
      </c>
    </row>
    <row s="4903" customFormat="1" customHeight="1" ht="15" hidden="1">
      <c r="C3" s="737"/>
      <c r="U3" s="485"/>
      <c r="V3" s="482">
        <v>0</v>
      </c>
    </row>
    <row customHeight="1" ht="15.75">
      <c r="C4" s="241"/>
      <c r="D4" s="574"/>
      <c r="E4" s="574"/>
      <c r="F4" s="574"/>
      <c r="G4" s="574"/>
      <c r="H4" s="574"/>
      <c r="I4" s="574"/>
      <c r="J4" s="574"/>
      <c r="V4" s="570">
        <v>15</v>
      </c>
    </row>
    <row customHeight="1" ht="66">
      <c r="C5" s="241"/>
      <c r="D5" s="2302" t="s">
        <v>1186</v>
      </c>
      <c r="E5" s="2302"/>
      <c r="F5" s="2302"/>
      <c r="G5" s="2302"/>
      <c r="H5" s="2302"/>
      <c r="I5" s="2302"/>
      <c r="J5" s="2302"/>
      <c r="V5" s="570">
        <v>63</v>
      </c>
    </row>
    <row customHeight="1" ht="15.75">
      <c r="C6" s="241"/>
      <c r="D6" s="2241" t="str">
        <f>IF(org=0,"Не определено",org)</f>
        <v>Филиал ПАО "ОГК-2"-Ставропольская ГРЭС</v>
      </c>
      <c r="E6" s="2241"/>
      <c r="F6" s="2241"/>
      <c r="G6" s="2241"/>
      <c r="H6" s="2241"/>
      <c r="I6" s="2241"/>
      <c r="J6" s="2241"/>
      <c r="K6" s="602"/>
      <c r="V6" s="570">
        <v>15</v>
      </c>
    </row>
    <row customHeight="1" ht="15.75">
      <c r="C7" s="241"/>
      <c r="D7" s="817"/>
      <c r="E7" s="574"/>
      <c r="F7" s="574"/>
      <c r="G7" s="602">
        <v>22</v>
      </c>
      <c r="I7" s="602">
        <v>1</v>
      </c>
      <c r="J7" s="817"/>
      <c r="V7" s="570">
        <v>15</v>
      </c>
    </row>
    <row s="4921" customFormat="1" customHeight="1" ht="1.05">
      <c r="A8" s="824"/>
      <c r="C8" s="241"/>
      <c r="D8" s="574"/>
      <c r="E8" s="574"/>
      <c r="F8" s="574"/>
      <c r="G8" s="602"/>
      <c r="H8" s="817"/>
      <c r="I8" s="602" t="s">
        <v>120</v>
      </c>
      <c r="J8" s="817"/>
      <c r="K8" s="482"/>
      <c r="U8" s="740"/>
      <c r="V8" s="823">
        <v>1</v>
      </c>
    </row>
    <row customHeight="1" ht="15.75">
      <c r="C9" s="241"/>
      <c r="D9" s="776"/>
      <c r="E9" s="2432" t="s">
        <v>108</v>
      </c>
      <c r="F9" s="2433"/>
      <c r="G9" s="2460" t="str">
        <f>IF(G8="","",INDEX(DIFFERENTIATION_UNMERGE_VD,MATCH(G8,DIFFERENTIATION_ID_DIFF,0)))</f>
        <v/>
      </c>
      <c r="H9" s="2461"/>
      <c r="I9" s="2460">
        <f>IF(I8="","",INDEX(DIFFERENTIATION_UNMERGE_VD,MATCH(I8,DIFFERENTIATION_ID_DIFF,0)))</f>
        <v>0</v>
      </c>
      <c r="J9" s="2461"/>
      <c r="K9" s="2240" t="s">
        <v>320</v>
      </c>
      <c r="V9" s="570">
        <v>15</v>
      </c>
    </row>
    <row s="4921" customFormat="1" customHeight="1" ht="15.75">
      <c r="A10" s="824"/>
      <c r="C10" s="241"/>
      <c r="D10" s="776"/>
      <c r="E10" s="2432" t="s">
        <v>584</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921" customFormat="1" customHeight="1" ht="15.75">
      <c r="A11" s="824"/>
      <c r="C11" s="241"/>
      <c r="D11" s="776"/>
      <c r="E11" s="2432" t="s">
        <v>585</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921" customFormat="1" customHeight="1" ht="15.75">
      <c r="A12" s="824"/>
      <c r="C12" s="241"/>
      <c r="D12" s="2434" t="s">
        <v>319</v>
      </c>
      <c r="E12" s="2435"/>
      <c r="F12" s="2435"/>
      <c r="G12" s="952"/>
      <c r="H12" s="952"/>
      <c r="I12" s="952"/>
      <c r="J12" s="952"/>
      <c r="K12" s="2264"/>
      <c r="U12" s="740"/>
      <c r="V12" s="823">
        <v>15</v>
      </c>
    </row>
    <row customHeight="1" ht="35.699999999999996">
      <c r="C13" s="241"/>
      <c r="D13" s="870" t="s">
        <v>91</v>
      </c>
      <c r="E13" s="872" t="s">
        <v>321</v>
      </c>
      <c r="F13" s="872" t="s">
        <v>586</v>
      </c>
      <c r="G13" s="873" t="s">
        <v>322</v>
      </c>
      <c r="H13" s="872" t="s">
        <v>409</v>
      </c>
      <c r="I13" s="873" t="s">
        <v>322</v>
      </c>
      <c r="J13" s="872" t="s">
        <v>409</v>
      </c>
      <c r="K13" s="2297"/>
      <c r="V13" s="570">
        <v>34</v>
      </c>
    </row>
    <row customHeight="1" ht="15" hidden="1">
      <c r="C14" s="241"/>
      <c r="D14" s="658" t="s">
        <v>112</v>
      </c>
      <c r="E14" s="658" t="s">
        <v>113</v>
      </c>
      <c r="F14" s="658" t="s">
        <v>93</v>
      </c>
      <c r="G14" s="724" t="str">
        <f>G1&amp;".1"</f>
        <v>4.1</v>
      </c>
      <c r="H14" s="724"/>
      <c r="I14" s="724" t="str">
        <f>I1&amp;".1"</f>
        <v>4.1</v>
      </c>
      <c r="J14" s="724"/>
      <c r="K14" s="354"/>
      <c r="V14" s="570">
        <v>0</v>
      </c>
    </row>
    <row customHeight="1" ht="22.5" hidden="1">
      <c r="A15" s="570"/>
      <c r="C15" s="591"/>
      <c r="D15" s="586">
        <v>1</v>
      </c>
      <c r="E15" s="742" t="s">
        <v>828</v>
      </c>
      <c r="F15" s="586" t="s">
        <v>829</v>
      </c>
      <c r="G15" s="743"/>
      <c r="H15" s="743"/>
      <c r="I15" s="743"/>
      <c r="J15" s="743"/>
      <c r="K15" s="354" t="s">
        <v>830</v>
      </c>
      <c r="V15" s="570">
        <v>0</v>
      </c>
    </row>
    <row customHeight="1" ht="22.5" hidden="1">
      <c r="A16" s="570"/>
      <c r="C16" s="591"/>
      <c r="D16" s="586">
        <v>2</v>
      </c>
      <c r="E16" s="344" t="s">
        <v>831</v>
      </c>
      <c r="F16" s="586" t="s">
        <v>832</v>
      </c>
      <c r="G16" s="743"/>
      <c r="H16" s="743"/>
      <c r="I16" s="743"/>
      <c r="J16" s="743"/>
      <c r="K16" s="354" t="s">
        <v>833</v>
      </c>
      <c r="V16" s="570">
        <v>0</v>
      </c>
    </row>
    <row customHeight="1" ht="123.75" hidden="1">
      <c r="A17" s="570"/>
      <c r="C17" s="591"/>
      <c r="D17" s="586">
        <v>3</v>
      </c>
      <c r="E17" s="344" t="s">
        <v>1187</v>
      </c>
      <c r="F17" s="586" t="s">
        <v>325</v>
      </c>
      <c r="G17" s="743"/>
      <c r="H17" s="743"/>
      <c r="I17" s="743"/>
      <c r="J17" s="743"/>
      <c r="K17" s="354" t="s">
        <v>1188</v>
      </c>
      <c r="V17" s="570">
        <v>0</v>
      </c>
    </row>
    <row customHeight="1" ht="48.29999999999999">
      <c r="A18" s="570"/>
      <c r="C18" s="591"/>
      <c r="D18" s="586">
        <v>3</v>
      </c>
      <c r="E18" s="344" t="s">
        <v>834</v>
      </c>
      <c r="F18" s="586" t="s">
        <v>325</v>
      </c>
      <c r="G18" s="874" t="s">
        <v>325</v>
      </c>
      <c r="H18" s="875" t="s">
        <v>325</v>
      </c>
      <c r="I18" s="586" t="s">
        <v>325</v>
      </c>
      <c r="J18" s="643" t="s">
        <v>325</v>
      </c>
      <c r="K18" s="354" t="s">
        <v>1189</v>
      </c>
      <c r="V18" s="570">
        <v>46</v>
      </c>
    </row>
    <row customHeight="1" ht="35.699999999999996">
      <c r="A19" s="570"/>
      <c r="C19" s="591"/>
      <c r="D19" s="604" t="s">
        <v>343</v>
      </c>
      <c r="E19" s="624" t="s">
        <v>836</v>
      </c>
      <c r="F19" s="586" t="s">
        <v>837</v>
      </c>
      <c r="G19" s="882"/>
      <c r="H19" s="171"/>
      <c r="I19" s="882"/>
      <c r="J19" s="883"/>
      <c r="K19" s="744"/>
      <c r="V19" s="570">
        <v>34</v>
      </c>
    </row>
    <row customHeight="1" ht="35.699999999999996">
      <c r="A20" s="570"/>
      <c r="C20" s="591"/>
      <c r="D20" s="1955" t="s">
        <v>351</v>
      </c>
      <c r="E20" s="624" t="s">
        <v>838</v>
      </c>
      <c r="F20" s="586" t="s">
        <v>839</v>
      </c>
      <c r="G20" s="882"/>
      <c r="H20" s="171"/>
      <c r="I20" s="882"/>
      <c r="J20" s="171"/>
      <c r="K20" s="744"/>
      <c r="V20" s="570">
        <v>34</v>
      </c>
    </row>
    <row customHeight="1" ht="48.29999999999999">
      <c r="A21" s="570"/>
      <c r="C21" s="591"/>
      <c r="D21" s="1955" t="s">
        <v>353</v>
      </c>
      <c r="E21" s="624" t="s">
        <v>840</v>
      </c>
      <c r="F21" s="586" t="s">
        <v>591</v>
      </c>
      <c r="G21" s="745"/>
      <c r="H21" s="171"/>
      <c r="I21" s="745"/>
      <c r="J21" s="171"/>
      <c r="K21" s="744"/>
      <c r="V21" s="570">
        <v>46</v>
      </c>
    </row>
    <row customHeight="1" ht="67.5" hidden="1">
      <c r="A22" s="570"/>
      <c r="C22" s="591"/>
      <c r="D22" s="586">
        <v>5</v>
      </c>
      <c r="E22" s="344" t="s">
        <v>1190</v>
      </c>
      <c r="F22" s="586" t="s">
        <v>578</v>
      </c>
      <c r="G22" s="746"/>
      <c r="H22" s="747"/>
      <c r="I22" s="746"/>
      <c r="J22" s="747"/>
      <c r="K22" s="354" t="s">
        <v>1191</v>
      </c>
      <c r="V22" s="570">
        <v>0</v>
      </c>
    </row>
    <row customHeight="1" ht="33.75" hidden="1">
      <c r="C23" s="516"/>
      <c r="D23" s="586">
        <v>6</v>
      </c>
      <c r="E23" s="344" t="s">
        <v>1192</v>
      </c>
      <c r="F23" s="586" t="s">
        <v>1193</v>
      </c>
      <c r="G23" s="746"/>
      <c r="H23" s="746"/>
      <c r="I23" s="746"/>
      <c r="J23" s="746"/>
      <c r="K23" s="354" t="s">
        <v>1194</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85</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38111A-296E-B739-F8F2-8CCB44CE6B5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19" width="32.57421875" customWidth="1"/>
    <col min="2" max="2" style="5662" width="11.00390625" customWidth="1"/>
    <col min="3" max="3" style="5662" width="9.140625"/>
    <col min="4" max="4" style="5662" width="26.57421875" customWidth="1"/>
    <col min="5" max="5" style="5419" width="36.8515625" customWidth="1"/>
    <col min="6" max="6" style="5419" width="23.57421875" customWidth="1"/>
    <col min="7" max="7" style="5419" width="31.421875" customWidth="1"/>
    <col min="8" max="8" style="5419" width="40.8515625" customWidth="1"/>
    <col min="9" max="9" style="5419" width="14.57421875" customWidth="1"/>
    <col min="10" max="10" style="5419" width="26.8515625" customWidth="1"/>
    <col min="11" max="11" style="5419" width="50.00390625" customWidth="1"/>
    <col min="12" max="12" style="5419" width="52.421875" customWidth="1"/>
    <col min="13" max="13" style="5419" width="10.7109375" customWidth="1"/>
    <col min="14" max="14" style="5419" width="55.140625" customWidth="1"/>
    <col min="15" max="15" style="5419" width="31.8515625" customWidth="1"/>
    <col min="16" max="16" style="5419" width="23.8515625" customWidth="1"/>
    <col min="17" max="17" style="5419" width="46.57421875" customWidth="1"/>
    <col min="18" max="18" style="5419" width="24.00390625" customWidth="1"/>
    <col min="19" max="19" style="5419" width="20.57421875" customWidth="1"/>
    <col min="20" max="20" style="5419" width="22.00390625" customWidth="1"/>
    <col min="21" max="22" style="5419" width="26.421875" customWidth="1"/>
    <col min="23" max="23" style="5419" width="8.28125" hidden="1" customWidth="1"/>
    <col min="24" max="24" style="5419" width="59.7109375" customWidth="1"/>
    <col min="25" max="25" style="5419" width="49.140625" customWidth="1"/>
    <col min="26" max="26" style="5419" width="11.140625" customWidth="1"/>
    <col min="27" max="30" style="5419" width="29.00390625" customWidth="1"/>
    <col min="31" max="31" style="5419" width="9.140625"/>
    <col min="32" max="32" style="5419" width="34.7109375" customWidth="1"/>
    <col min="33" max="33" style="5419" width="9.140625"/>
    <col min="34" max="35" style="5419" width="34.421875" customWidth="1"/>
    <col min="36" max="36" style="5419" width="9.140625"/>
    <col min="37" max="37" style="5419" width="24.57421875" customWidth="1"/>
    <col min="38" max="38" style="5419" width="9.140625"/>
    <col min="39" max="39" style="5419" width="26.140625" customWidth="1"/>
    <col min="40" max="40" style="5419" width="1.7109375" customWidth="1"/>
    <col min="41" max="41" style="5419" width="9.140625"/>
    <col min="42" max="43" style="5419" width="47.8515625" customWidth="1"/>
    <col min="44" max="44" style="5419" width="1.7109375" customWidth="1"/>
    <col min="45" max="45" style="5419" width="21.421875" customWidth="1"/>
    <col min="46" max="46" style="5419" width="1.7109375" customWidth="1"/>
    <col min="47" max="47" style="5419" width="31.28125" customWidth="1"/>
    <col min="48" max="48" style="5419" width="1.7109375" customWidth="1"/>
    <col min="49" max="50" style="5419" width="9.140625"/>
    <col min="51" max="51" style="5419" width="3.7109375" customWidth="1"/>
    <col min="52" max="52" style="5419" width="60.8515625" customWidth="1"/>
    <col min="53" max="53" style="5419" width="49.28125" customWidth="1"/>
    <col min="54" max="54" style="5419" width="35.140625" customWidth="1"/>
    <col min="55" max="55" style="5419" width="9.140625"/>
    <col min="56" max="56" style="5419" width="1.7109375" customWidth="1"/>
    <col min="57" max="57" style="5099" width="12.57421875" customWidth="1"/>
    <col min="58" max="58" style="5099" width="14.28125" customWidth="1"/>
    <col min="59" max="59" style="5419" width="30.7109375" customWidth="1"/>
    <col min="60" max="60" style="5095" width="40.7109375" customWidth="1"/>
    <col min="61" max="61" style="5095" width="15.00390625" customWidth="1"/>
    <col min="62" max="62" style="5095" width="40.7109375" customWidth="1"/>
    <col min="63" max="63" style="5095" width="2.7109375" customWidth="1"/>
    <col min="64" max="64" style="5095" width="44.7109375" customWidth="1"/>
    <col min="65" max="65" style="5095" width="2.7109375" customWidth="1"/>
    <col min="66" max="66" style="5095" width="40.7109375" customWidth="1"/>
    <col min="67" max="68" style="5419" width="9.140625"/>
    <col min="69" max="69" style="5419" width="18.140625" customWidth="1"/>
    <col min="70" max="70" style="5419" width="57.8515625" customWidth="1"/>
    <col min="71" max="71" style="5419" width="1.7109375" customWidth="1"/>
    <col min="72" max="72" style="5419" width="22.57421875" customWidth="1"/>
    <col min="73" max="73" style="5419" width="57.8515625" customWidth="1"/>
    <col min="74" max="74" style="5419" width="1.7109375" customWidth="1"/>
    <col min="75" max="75" style="5419" width="22.57421875" customWidth="1"/>
    <col min="76" max="76" style="5419" width="57.8515625" customWidth="1"/>
    <col min="77" max="77" style="5419" width="1.7109375" customWidth="1"/>
    <col min="78" max="78" style="5419" width="22.57421875" customWidth="1"/>
    <col min="79" max="79" style="5419" width="57.8515625" customWidth="1"/>
    <col min="80" max="81" style="5419" width="9.140625"/>
    <col min="82" max="82" style="5419" width="49.57421875" customWidth="1"/>
  </cols>
  <sheetData>
    <row s="5003" customFormat="1" customHeight="1" ht="11.25">
      <c r="A1" s="1132" t="s">
        <v>1195</v>
      </c>
      <c r="B1" s="1132" t="s">
        <v>1196</v>
      </c>
      <c r="C1" s="1132" t="s">
        <v>1197</v>
      </c>
      <c r="D1" s="1132" t="s">
        <v>1198</v>
      </c>
      <c r="E1" s="1132" t="s">
        <v>1199</v>
      </c>
      <c r="F1" s="1132" t="s">
        <v>1200</v>
      </c>
      <c r="G1" s="1132" t="s">
        <v>1201</v>
      </c>
      <c r="H1" s="1132" t="s">
        <v>1202</v>
      </c>
      <c r="I1" s="1132" t="s">
        <v>1203</v>
      </c>
      <c r="J1" s="1132" t="s">
        <v>1204</v>
      </c>
      <c r="K1" s="1132" t="s">
        <v>1205</v>
      </c>
      <c r="L1" s="1132" t="s">
        <v>1206</v>
      </c>
      <c r="M1" s="1132"/>
      <c r="N1" s="1132" t="s">
        <v>1207</v>
      </c>
      <c r="O1" s="1132" t="s">
        <v>1208</v>
      </c>
      <c r="P1" s="1132" t="s">
        <v>1209</v>
      </c>
      <c r="Q1" s="1132" t="s">
        <v>1210</v>
      </c>
      <c r="R1" s="1132" t="s">
        <v>1211</v>
      </c>
      <c r="S1" s="1132" t="s">
        <v>1212</v>
      </c>
      <c r="T1" s="1132" t="s">
        <v>1213</v>
      </c>
      <c r="U1" s="1132" t="s">
        <v>1214</v>
      </c>
      <c r="V1" s="1132"/>
      <c r="W1" s="862" t="s">
        <v>1215</v>
      </c>
      <c r="X1" s="1132" t="s">
        <v>1216</v>
      </c>
      <c r="Y1" s="1132" t="s">
        <v>1217</v>
      </c>
      <c r="Z1" s="1132"/>
      <c r="AA1" s="1132" t="s">
        <v>1218</v>
      </c>
      <c r="AB1" s="1132"/>
      <c r="AC1" s="1132" t="s">
        <v>1219</v>
      </c>
      <c r="AD1" s="1132"/>
      <c r="AF1" s="1132" t="s">
        <v>1220</v>
      </c>
      <c r="AH1" s="1132" t="s">
        <v>1221</v>
      </c>
      <c r="AI1" s="1132" t="s">
        <v>1222</v>
      </c>
      <c r="AK1" s="1132" t="s">
        <v>1223</v>
      </c>
      <c r="AM1" s="1132" t="s">
        <v>1224</v>
      </c>
      <c r="AP1" s="1132" t="s">
        <v>1225</v>
      </c>
      <c r="AQ1" s="1132" t="s">
        <v>1226</v>
      </c>
      <c r="AS1" s="1132" t="s">
        <v>1227</v>
      </c>
      <c r="AU1" s="1132" t="s">
        <v>1228</v>
      </c>
      <c r="AW1" s="1132" t="s">
        <v>1229</v>
      </c>
      <c r="AX1" s="1132" t="s">
        <v>1230</v>
      </c>
      <c r="AZ1" s="1217" t="s">
        <v>1231</v>
      </c>
      <c r="BB1" s="1132" t="s">
        <v>1232</v>
      </c>
      <c r="BC1" s="1132"/>
      <c r="BE1" s="1132" t="s">
        <v>1233</v>
      </c>
      <c r="BF1" s="1132" t="s">
        <v>1234</v>
      </c>
      <c r="BH1" s="1134" t="s">
        <v>827</v>
      </c>
      <c r="BI1" s="1135"/>
      <c r="BJ1" s="1136" t="s">
        <v>1235</v>
      </c>
      <c r="BK1" s="1135"/>
      <c r="BL1" s="1137" t="s">
        <v>926</v>
      </c>
      <c r="BM1" s="1135"/>
      <c r="BN1" s="1138" t="s">
        <v>1236</v>
      </c>
      <c r="BS1" s="1492"/>
    </row>
    <row customHeight="1" ht="11.25">
      <c r="A2" s="1139" t="s">
        <v>1237</v>
      </c>
      <c r="B2" s="1140">
        <v>2000</v>
      </c>
      <c r="C2" s="1140">
        <v>2022</v>
      </c>
      <c r="D2" s="1140" t="s">
        <v>64</v>
      </c>
      <c r="E2" s="1141" t="s">
        <v>1238</v>
      </c>
      <c r="F2" s="1141" t="s">
        <v>1239</v>
      </c>
      <c r="G2" s="1141" t="s">
        <v>1240</v>
      </c>
      <c r="H2" s="1142" t="s">
        <v>58</v>
      </c>
      <c r="I2" s="1141" t="s">
        <v>112</v>
      </c>
      <c r="J2" s="1141" t="s">
        <v>1241</v>
      </c>
      <c r="K2" s="1143" t="s">
        <v>1242</v>
      </c>
      <c r="L2" s="1144"/>
      <c r="M2" s="1143">
        <v>1</v>
      </c>
      <c r="N2" s="1227" t="s">
        <v>1243</v>
      </c>
      <c r="O2" s="1142" t="s">
        <v>466</v>
      </c>
      <c r="P2" s="1145" t="s">
        <v>1244</v>
      </c>
      <c r="Q2" s="1146" t="s">
        <v>1245</v>
      </c>
      <c r="R2" s="208" t="s">
        <v>1246</v>
      </c>
      <c r="S2" s="208" t="s">
        <v>1247</v>
      </c>
      <c r="T2" s="1147" t="s">
        <v>1248</v>
      </c>
      <c r="U2" s="1144" t="s">
        <v>1249</v>
      </c>
      <c r="V2" s="1148">
        <v>1</v>
      </c>
      <c r="W2" s="1149"/>
      <c r="X2" s="1149" t="s">
        <v>1250</v>
      </c>
      <c r="Y2" s="1140" t="s">
        <v>1251</v>
      </c>
      <c r="Z2" s="1150"/>
      <c r="AA2" s="1140" t="s">
        <v>1252</v>
      </c>
      <c r="AB2" s="1151" t="s">
        <v>1252</v>
      </c>
      <c r="AC2" s="1140" t="s">
        <v>1253</v>
      </c>
      <c r="AD2" s="1151" t="s">
        <v>1253</v>
      </c>
      <c r="AF2" s="1142" t="s">
        <v>1249</v>
      </c>
      <c r="AH2" s="1141" t="s">
        <v>1254</v>
      </c>
      <c r="AI2" s="1141" t="s">
        <v>1254</v>
      </c>
      <c r="AK2" s="1141" t="s">
        <v>1255</v>
      </c>
      <c r="AM2" s="1141" t="s">
        <v>1256</v>
      </c>
      <c r="AP2" s="1152" t="s">
        <v>1250</v>
      </c>
      <c r="AQ2" s="1153" t="s">
        <v>1250</v>
      </c>
      <c r="AS2" s="1140" t="s">
        <v>1257</v>
      </c>
      <c r="AU2" s="1185" t="s">
        <v>1258</v>
      </c>
      <c r="AW2" s="1185" t="s">
        <v>1259</v>
      </c>
      <c r="AX2" s="1185" t="s">
        <v>1259</v>
      </c>
      <c r="AZ2" s="1185" t="s">
        <v>56</v>
      </c>
      <c r="BB2" s="1185" t="s">
        <v>1260</v>
      </c>
      <c r="BC2" s="1185" t="s">
        <v>1261</v>
      </c>
      <c r="BE2" s="1185">
        <v>2000</v>
      </c>
      <c r="BF2" s="1185" t="s">
        <v>1262</v>
      </c>
    </row>
    <row customHeight="1" ht="11.25">
      <c r="A3" s="1139" t="s">
        <v>1263</v>
      </c>
      <c r="B3" s="1140">
        <v>2001</v>
      </c>
      <c r="C3" s="1140">
        <v>2023</v>
      </c>
      <c r="D3" s="1140" t="s">
        <v>19</v>
      </c>
      <c r="E3" s="1141" t="s">
        <v>1264</v>
      </c>
      <c r="F3" s="1141" t="s">
        <v>1265</v>
      </c>
      <c r="G3" s="1141" t="s">
        <v>1266</v>
      </c>
      <c r="H3" s="1142" t="s">
        <v>1267</v>
      </c>
      <c r="I3" s="1141" t="s">
        <v>113</v>
      </c>
      <c r="J3" s="1141" t="s">
        <v>576</v>
      </c>
      <c r="K3" s="1143" t="s">
        <v>1268</v>
      </c>
      <c r="L3" s="1144">
        <f>_xlfn.IFERROR(MATCH(K3,OFFER_METHOD,0),0)</f>
        <v>0</v>
      </c>
      <c r="M3" s="1143">
        <v>2</v>
      </c>
      <c r="N3" s="1227" t="s">
        <v>1269</v>
      </c>
      <c r="O3" s="1142" t="s">
        <v>1270</v>
      </c>
      <c r="P3" s="1145" t="s">
        <v>37</v>
      </c>
      <c r="Q3" s="1146" t="s">
        <v>464</v>
      </c>
      <c r="R3" s="208" t="s">
        <v>1271</v>
      </c>
      <c r="S3" s="208" t="s">
        <v>1272</v>
      </c>
      <c r="T3" s="1147" t="s">
        <v>1273</v>
      </c>
      <c r="U3" s="1144" t="s">
        <v>1274</v>
      </c>
      <c r="V3" s="1148">
        <v>2</v>
      </c>
      <c r="W3" s="1149"/>
      <c r="X3" s="1149" t="s">
        <v>1275</v>
      </c>
      <c r="Y3" s="1140" t="s">
        <v>1251</v>
      </c>
      <c r="Z3" s="1150"/>
      <c r="AA3" s="1140" t="s">
        <v>1276</v>
      </c>
      <c r="AB3" s="1151" t="s">
        <v>1276</v>
      </c>
      <c r="AC3" s="1140" t="s">
        <v>1277</v>
      </c>
      <c r="AD3" s="1151" t="s">
        <v>1277</v>
      </c>
      <c r="AF3" s="1142" t="s">
        <v>1274</v>
      </c>
      <c r="AH3" s="1141" t="s">
        <v>1278</v>
      </c>
      <c r="AI3" s="1141" t="s">
        <v>1279</v>
      </c>
      <c r="AK3" s="1141" t="s">
        <v>1280</v>
      </c>
      <c r="AM3" s="1141" t="s">
        <v>1281</v>
      </c>
      <c r="AP3" s="1152" t="s">
        <v>1282</v>
      </c>
      <c r="AQ3" s="1153" t="s">
        <v>1282</v>
      </c>
      <c r="AS3" s="1140" t="s">
        <v>1283</v>
      </c>
      <c r="AU3" s="1185" t="s">
        <v>1284</v>
      </c>
      <c r="AW3" s="1185" t="s">
        <v>1285</v>
      </c>
      <c r="AX3" s="1185" t="s">
        <v>1285</v>
      </c>
      <c r="AZ3" s="1185" t="s">
        <v>1286</v>
      </c>
      <c r="BB3" s="1185" t="s">
        <v>1287</v>
      </c>
      <c r="BC3" s="1185" t="s">
        <v>1261</v>
      </c>
      <c r="BE3" s="1185">
        <v>2001</v>
      </c>
      <c r="BF3" s="1185" t="s">
        <v>1288</v>
      </c>
      <c r="BH3" s="1132" t="s">
        <v>1289</v>
      </c>
      <c r="BJ3" s="1132" t="s">
        <v>1290</v>
      </c>
      <c r="BL3" s="1132" t="s">
        <v>1291</v>
      </c>
      <c r="BN3" s="1132" t="s">
        <v>1292</v>
      </c>
      <c r="BR3" s="1132" t="s">
        <v>1293</v>
      </c>
      <c r="BS3" s="1493"/>
      <c r="BT3" s="1135"/>
      <c r="BU3" s="1132" t="s">
        <v>1294</v>
      </c>
      <c r="BV3" s="1135"/>
      <c r="BW3" s="1755"/>
      <c r="BX3" s="1757" t="s">
        <v>1295</v>
      </c>
      <c r="CA3" s="1132" t="s">
        <v>1296</v>
      </c>
    </row>
    <row customHeight="1" ht="11.25">
      <c r="A4" s="1139" t="s">
        <v>1297</v>
      </c>
      <c r="B4" s="1140">
        <v>2002</v>
      </c>
      <c r="C4" s="1140">
        <v>2024</v>
      </c>
      <c r="E4" s="1141" t="s">
        <v>1298</v>
      </c>
      <c r="F4" s="1141" t="s">
        <v>1299</v>
      </c>
      <c r="H4" s="1142" t="s">
        <v>1300</v>
      </c>
      <c r="I4" s="1141" t="s">
        <v>93</v>
      </c>
      <c r="J4" s="1141" t="s">
        <v>1301</v>
      </c>
      <c r="K4" s="1143" t="s">
        <v>1302</v>
      </c>
      <c r="L4" s="1144">
        <f>_xlfn.IFERROR(MATCH(K4,OFFER_METHOD,0),0)</f>
        <v>0</v>
      </c>
      <c r="M4" s="1143">
        <v>3</v>
      </c>
      <c r="N4" s="1227" t="s">
        <v>1303</v>
      </c>
      <c r="O4" s="1141" t="s">
        <v>1304</v>
      </c>
      <c r="Q4" s="1146" t="s">
        <v>1305</v>
      </c>
      <c r="R4" s="208" t="s">
        <v>1306</v>
      </c>
      <c r="S4" s="208" t="s">
        <v>1307</v>
      </c>
      <c r="T4" s="1147" t="s">
        <v>1308</v>
      </c>
      <c r="U4" s="1144" t="s">
        <v>1309</v>
      </c>
      <c r="V4" s="1148">
        <v>3</v>
      </c>
      <c r="W4" s="1149"/>
      <c r="X4" s="1149" t="s">
        <v>1310</v>
      </c>
      <c r="Y4" s="1140" t="s">
        <v>1251</v>
      </c>
      <c r="Z4" s="1156"/>
      <c r="AC4" s="1140" t="s">
        <v>1311</v>
      </c>
      <c r="AD4" s="1151" t="s">
        <v>1311</v>
      </c>
      <c r="AF4" s="1142" t="s">
        <v>1309</v>
      </c>
      <c r="AH4" s="1142" t="s">
        <v>1312</v>
      </c>
      <c r="AK4" s="1141" t="s">
        <v>1313</v>
      </c>
      <c r="AM4" s="1141" t="s">
        <v>1314</v>
      </c>
      <c r="AP4" s="1152" t="s">
        <v>1275</v>
      </c>
      <c r="AQ4" s="1153" t="s">
        <v>1275</v>
      </c>
      <c r="AS4" s="1140" t="s">
        <v>1315</v>
      </c>
      <c r="AU4" s="1185" t="s">
        <v>1316</v>
      </c>
      <c r="AW4" s="1185" t="s">
        <v>1317</v>
      </c>
      <c r="AX4" s="1185" t="s">
        <v>1317</v>
      </c>
      <c r="AZ4" s="1185" t="s">
        <v>1318</v>
      </c>
      <c r="BB4" s="1185" t="s">
        <v>1319</v>
      </c>
      <c r="BC4" s="1185" t="s">
        <v>1320</v>
      </c>
      <c r="BE4" s="1185">
        <v>2002</v>
      </c>
      <c r="BF4" s="1185" t="s">
        <v>1321</v>
      </c>
      <c r="BH4" s="1133" t="s">
        <v>1322</v>
      </c>
      <c r="BJ4" s="1133" t="s">
        <v>1322</v>
      </c>
      <c r="BL4" s="1133" t="s">
        <v>1322</v>
      </c>
      <c r="BN4" s="1133" t="s">
        <v>1322</v>
      </c>
      <c r="BQ4" s="1497" t="s">
        <v>1323</v>
      </c>
      <c r="BR4" s="1224" t="s">
        <v>1324</v>
      </c>
      <c r="BS4" s="339"/>
      <c r="BT4" s="1497" t="s">
        <v>1325</v>
      </c>
      <c r="BU4" s="1224" t="s">
        <v>1326</v>
      </c>
      <c r="BV4" s="1135"/>
      <c r="BW4" s="1762" t="s">
        <v>1327</v>
      </c>
      <c r="BX4" s="1756" t="s">
        <v>1328</v>
      </c>
      <c r="BZ4" s="1497" t="s">
        <v>1329</v>
      </c>
      <c r="CA4" s="1224" t="s">
        <v>1330</v>
      </c>
    </row>
    <row customHeight="1" ht="11.25">
      <c r="A5" s="1139" t="s">
        <v>1331</v>
      </c>
      <c r="B5" s="1140">
        <v>2003</v>
      </c>
      <c r="C5" s="1140">
        <v>2025</v>
      </c>
      <c r="E5" s="1141" t="s">
        <v>1332</v>
      </c>
      <c r="F5" s="1141" t="s">
        <v>1333</v>
      </c>
      <c r="H5" s="1142" t="s">
        <v>1334</v>
      </c>
      <c r="I5" s="1141" t="s">
        <v>94</v>
      </c>
      <c r="K5" s="1143" t="s">
        <v>1335</v>
      </c>
      <c r="L5" s="1144">
        <f>_xlfn.IFERROR(MATCH(K5,OFFER_METHOD,0),0)</f>
        <v>0</v>
      </c>
      <c r="M5" s="1143">
        <v>4</v>
      </c>
      <c r="N5" s="1157" t="s">
        <v>1336</v>
      </c>
      <c r="O5" s="1141" t="s">
        <v>1337</v>
      </c>
      <c r="Q5" s="1146" t="s">
        <v>468</v>
      </c>
      <c r="R5" s="208" t="s">
        <v>465</v>
      </c>
      <c r="T5" s="1142" t="s">
        <v>1338</v>
      </c>
      <c r="U5" s="1144" t="s">
        <v>1339</v>
      </c>
      <c r="V5" s="1148">
        <v>4</v>
      </c>
      <c r="W5" s="1149"/>
      <c r="X5" s="1149" t="s">
        <v>177</v>
      </c>
      <c r="Y5" s="1140" t="s">
        <v>1340</v>
      </c>
      <c r="Z5" s="1156">
        <v>1</v>
      </c>
      <c r="AF5" s="1142" t="s">
        <v>1341</v>
      </c>
      <c r="AH5" s="1141" t="s">
        <v>1342</v>
      </c>
      <c r="AK5" s="1141" t="s">
        <v>1343</v>
      </c>
      <c r="AM5" s="1141" t="s">
        <v>1344</v>
      </c>
      <c r="AP5" s="1152" t="s">
        <v>177</v>
      </c>
      <c r="AQ5" s="1153" t="s">
        <v>177</v>
      </c>
      <c r="AU5" s="1185" t="s">
        <v>1345</v>
      </c>
      <c r="AW5" s="1185" t="s">
        <v>1346</v>
      </c>
      <c r="AX5" s="1185" t="s">
        <v>1346</v>
      </c>
      <c r="AZ5" s="1185" t="s">
        <v>1347</v>
      </c>
      <c r="BB5" s="1185" t="s">
        <v>1348</v>
      </c>
      <c r="BC5" s="1185" t="s">
        <v>1349</v>
      </c>
      <c r="BE5" s="1185">
        <v>2003</v>
      </c>
      <c r="BF5" s="1185" t="s">
        <v>1350</v>
      </c>
      <c r="BH5" s="1133" t="s">
        <v>1351</v>
      </c>
      <c r="BJ5" s="1133" t="s">
        <v>1351</v>
      </c>
      <c r="BL5" s="1133" t="s">
        <v>1351</v>
      </c>
      <c r="BN5" s="1133" t="s">
        <v>1352</v>
      </c>
      <c r="BQ5" s="1346">
        <v>4213775</v>
      </c>
      <c r="BR5" s="1133" t="s">
        <v>1250</v>
      </c>
      <c r="BS5" s="1494"/>
      <c r="BT5" s="1346">
        <v>64236871</v>
      </c>
      <c r="BU5" s="1133" t="s">
        <v>248</v>
      </c>
      <c r="BV5" s="1135"/>
      <c r="BW5" s="1760">
        <v>4213767</v>
      </c>
      <c r="BX5" s="1758" t="s">
        <v>1353</v>
      </c>
      <c r="BZ5" s="1346">
        <v>64237509</v>
      </c>
      <c r="CA5" s="1360" t="s">
        <v>1354</v>
      </c>
    </row>
    <row customHeight="1" ht="11.25">
      <c r="A6" s="1139" t="s">
        <v>1355</v>
      </c>
      <c r="B6" s="1140">
        <v>2004</v>
      </c>
      <c r="C6" s="1140">
        <v>2026</v>
      </c>
      <c r="E6" s="1141" t="s">
        <v>1356</v>
      </c>
      <c r="F6" s="1158"/>
      <c r="H6" s="1142" t="s">
        <v>1357</v>
      </c>
      <c r="I6" s="1141" t="s">
        <v>114</v>
      </c>
      <c r="J6" s="1132" t="s">
        <v>1358</v>
      </c>
      <c r="L6" s="1144">
        <f>SUM(kind_of_control_method_filter)</f>
        <v>0</v>
      </c>
      <c r="N6" s="1157" t="s">
        <v>1359</v>
      </c>
      <c r="O6" s="1141" t="s">
        <v>1360</v>
      </c>
      <c r="R6" s="208" t="s">
        <v>1245</v>
      </c>
      <c r="T6" s="1142" t="s">
        <v>1361</v>
      </c>
      <c r="U6" s="1144" t="s">
        <v>1341</v>
      </c>
      <c r="V6" s="1148">
        <v>5</v>
      </c>
      <c r="W6" s="1149"/>
      <c r="X6" s="1140" t="s">
        <v>185</v>
      </c>
      <c r="Y6" s="1140" t="s">
        <v>1362</v>
      </c>
      <c r="Z6" s="1156"/>
      <c r="AA6" s="1159"/>
      <c r="AH6" s="1141" t="s">
        <v>1363</v>
      </c>
      <c r="AK6" s="1141" t="s">
        <v>1364</v>
      </c>
      <c r="AM6" s="1141" t="s">
        <v>1365</v>
      </c>
      <c r="AP6" s="1152" t="s">
        <v>185</v>
      </c>
      <c r="AQ6" s="1153" t="s">
        <v>185</v>
      </c>
      <c r="AU6" s="1185" t="s">
        <v>1366</v>
      </c>
      <c r="AW6" s="1185" t="s">
        <v>1367</v>
      </c>
      <c r="AX6" s="1185" t="s">
        <v>1367</v>
      </c>
      <c r="BB6" s="1185" t="s">
        <v>1368</v>
      </c>
      <c r="BC6" s="1185" t="s">
        <v>1349</v>
      </c>
      <c r="BE6" s="1185">
        <v>2004</v>
      </c>
      <c r="BF6" s="1185" t="s">
        <v>1369</v>
      </c>
      <c r="BH6" s="1133" t="s">
        <v>1370</v>
      </c>
      <c r="BJ6" s="1133" t="s">
        <v>1371</v>
      </c>
      <c r="BL6" s="1133" t="s">
        <v>1371</v>
      </c>
      <c r="BN6" s="1133" t="s">
        <v>1372</v>
      </c>
      <c r="BQ6" s="1346">
        <v>4213784</v>
      </c>
      <c r="BR6" s="1360" t="s">
        <v>1282</v>
      </c>
      <c r="BS6" s="1495"/>
      <c r="BT6" s="1346">
        <v>64236872</v>
      </c>
      <c r="BU6" s="1133" t="s">
        <v>253</v>
      </c>
      <c r="BV6" s="1135"/>
      <c r="BW6" s="1760">
        <v>4213768</v>
      </c>
      <c r="BX6" s="1758" t="s">
        <v>273</v>
      </c>
      <c r="BZ6" s="1346">
        <v>64237510</v>
      </c>
      <c r="CA6" s="1133" t="s">
        <v>1373</v>
      </c>
    </row>
    <row customHeight="1" ht="11.25">
      <c r="A7" s="1139" t="s">
        <v>1374</v>
      </c>
      <c r="B7" s="1140">
        <v>2005</v>
      </c>
      <c r="E7" s="1141" t="s">
        <v>1375</v>
      </c>
      <c r="F7" s="1158"/>
      <c r="H7" s="1142" t="s">
        <v>1376</v>
      </c>
      <c r="I7" s="1141" t="s">
        <v>95</v>
      </c>
      <c r="J7" s="1141" t="s">
        <v>1377</v>
      </c>
      <c r="N7" s="1161" t="s">
        <v>1378</v>
      </c>
      <c r="O7" s="1141" t="s">
        <v>1379</v>
      </c>
      <c r="U7" s="1144" t="s">
        <v>19</v>
      </c>
      <c r="V7" s="435" t="s">
        <v>95</v>
      </c>
      <c r="W7" s="1149"/>
      <c r="X7" s="1140" t="s">
        <v>199</v>
      </c>
      <c r="Y7" s="1140" t="s">
        <v>1340</v>
      </c>
      <c r="Z7" s="1156"/>
      <c r="AA7" s="1159"/>
      <c r="AH7" s="1141" t="s">
        <v>1380</v>
      </c>
      <c r="AK7" s="1141" t="s">
        <v>1381</v>
      </c>
      <c r="AM7" s="1141" t="s">
        <v>1382</v>
      </c>
      <c r="AP7" s="1152" t="s">
        <v>199</v>
      </c>
      <c r="AQ7" s="1153" t="s">
        <v>199</v>
      </c>
      <c r="AU7" s="1185" t="s">
        <v>1383</v>
      </c>
      <c r="AW7" s="1185" t="s">
        <v>1384</v>
      </c>
      <c r="AX7" s="1185" t="s">
        <v>1384</v>
      </c>
      <c r="AZ7" s="1132" t="s">
        <v>1385</v>
      </c>
      <c r="BB7" s="1185" t="s">
        <v>1386</v>
      </c>
      <c r="BC7" s="1185" t="s">
        <v>1349</v>
      </c>
      <c r="BE7" s="1185">
        <v>2005</v>
      </c>
      <c r="BF7" s="1185" t="s">
        <v>1387</v>
      </c>
      <c r="BH7" s="1133" t="s">
        <v>1388</v>
      </c>
      <c r="BJ7" s="1133" t="s">
        <v>1370</v>
      </c>
      <c r="BL7" s="1133" t="s">
        <v>1370</v>
      </c>
      <c r="BN7" s="1133" t="s">
        <v>1389</v>
      </c>
      <c r="BQ7" s="1346">
        <v>4213781</v>
      </c>
      <c r="BR7" s="1133" t="s">
        <v>1275</v>
      </c>
      <c r="BS7" s="1494"/>
      <c r="BT7" s="1346">
        <v>64236873</v>
      </c>
      <c r="BU7" s="1133" t="s">
        <v>258</v>
      </c>
      <c r="BV7" s="1135"/>
      <c r="BW7" s="1760">
        <v>4213769</v>
      </c>
      <c r="BX7" s="1758" t="s">
        <v>1390</v>
      </c>
      <c r="BZ7" s="1346">
        <v>64237511</v>
      </c>
      <c r="CA7" s="1133" t="s">
        <v>288</v>
      </c>
    </row>
    <row customHeight="1" ht="11.25">
      <c r="A8" s="1139" t="s">
        <v>1391</v>
      </c>
      <c r="B8" s="1140">
        <v>2006</v>
      </c>
      <c r="E8" s="1141" t="s">
        <v>1392</v>
      </c>
      <c r="F8" s="1158"/>
      <c r="H8" s="1142" t="s">
        <v>1393</v>
      </c>
      <c r="I8" s="1141" t="s">
        <v>96</v>
      </c>
      <c r="J8" s="1141" t="s">
        <v>1394</v>
      </c>
      <c r="N8" s="1228" t="s">
        <v>1395</v>
      </c>
      <c r="O8" s="1141" t="s">
        <v>1396</v>
      </c>
      <c r="V8" s="435" t="s">
        <v>96</v>
      </c>
      <c r="W8" s="1149"/>
      <c r="X8" s="1140" t="s">
        <v>205</v>
      </c>
      <c r="Y8" s="1140" t="s">
        <v>1340</v>
      </c>
      <c r="Z8" s="1156"/>
      <c r="AA8" s="1159"/>
      <c r="AK8" s="1141" t="s">
        <v>1397</v>
      </c>
      <c r="AP8" s="1152" t="s">
        <v>205</v>
      </c>
      <c r="AQ8" s="1153" t="s">
        <v>205</v>
      </c>
      <c r="AU8" s="1185" t="s">
        <v>1398</v>
      </c>
      <c r="AW8" s="1185" t="s">
        <v>1399</v>
      </c>
      <c r="AX8" s="1185" t="s">
        <v>1399</v>
      </c>
      <c r="AZ8" s="1185" t="s">
        <v>1400</v>
      </c>
      <c r="BB8" s="1185" t="s">
        <v>1401</v>
      </c>
      <c r="BC8" s="1185" t="s">
        <v>1349</v>
      </c>
      <c r="BE8" s="1185">
        <v>2006</v>
      </c>
      <c r="BF8" s="1185" t="s">
        <v>1402</v>
      </c>
      <c r="BH8" s="1133" t="s">
        <v>1403</v>
      </c>
      <c r="BJ8" s="1133" t="s">
        <v>1404</v>
      </c>
      <c r="BL8" s="1133" t="s">
        <v>1404</v>
      </c>
      <c r="BN8" s="1133" t="s">
        <v>1405</v>
      </c>
      <c r="BQ8" s="1346">
        <v>4213776</v>
      </c>
      <c r="BR8" s="1133" t="s">
        <v>177</v>
      </c>
      <c r="BS8" s="1494"/>
      <c r="BT8" s="1346">
        <v>64236874</v>
      </c>
      <c r="BU8" s="1360" t="s">
        <v>1406</v>
      </c>
      <c r="BV8" s="1135"/>
      <c r="BW8" s="1760">
        <v>4213770</v>
      </c>
      <c r="BX8" s="1761" t="s">
        <v>1407</v>
      </c>
      <c r="BZ8" s="1346">
        <v>64237512</v>
      </c>
      <c r="CA8" s="1133" t="s">
        <v>283</v>
      </c>
    </row>
    <row customHeight="1" ht="11.25">
      <c r="A9" s="1139" t="s">
        <v>1408</v>
      </c>
      <c r="B9" s="1140">
        <v>2007</v>
      </c>
      <c r="E9" s="1141" t="s">
        <v>1409</v>
      </c>
      <c r="F9" s="1158"/>
      <c r="G9" s="1132" t="s">
        <v>1410</v>
      </c>
      <c r="H9" s="1132" t="s">
        <v>1411</v>
      </c>
      <c r="I9" s="1141" t="s">
        <v>115</v>
      </c>
      <c r="O9" s="1141" t="s">
        <v>1412</v>
      </c>
      <c r="V9" s="435" t="s">
        <v>115</v>
      </c>
      <c r="W9" s="1149"/>
      <c r="X9" s="1140" t="s">
        <v>211</v>
      </c>
      <c r="Y9" s="1140" t="s">
        <v>1251</v>
      </c>
      <c r="Z9" s="1156">
        <v>1</v>
      </c>
      <c r="AA9" s="1159"/>
      <c r="AK9" s="1141" t="s">
        <v>1413</v>
      </c>
      <c r="AP9" s="1152" t="s">
        <v>1414</v>
      </c>
      <c r="AQ9" s="1153" t="s">
        <v>1414</v>
      </c>
      <c r="AW9" s="1185" t="s">
        <v>1415</v>
      </c>
      <c r="AX9" s="1185" t="s">
        <v>1415</v>
      </c>
      <c r="AZ9" s="1185" t="s">
        <v>1416</v>
      </c>
      <c r="BB9" s="1185" t="s">
        <v>1417</v>
      </c>
      <c r="BC9" s="1185" t="s">
        <v>1349</v>
      </c>
      <c r="BE9" s="1185">
        <v>2007</v>
      </c>
      <c r="BF9" s="1185" t="s">
        <v>1418</v>
      </c>
      <c r="BH9" s="1133" t="s">
        <v>1419</v>
      </c>
      <c r="BJ9" s="1133" t="s">
        <v>1420</v>
      </c>
      <c r="BL9" s="1133" t="s">
        <v>1420</v>
      </c>
      <c r="BN9" s="1133" t="s">
        <v>1421</v>
      </c>
      <c r="BQ9" s="1346">
        <v>4213777</v>
      </c>
      <c r="BR9" s="1133" t="s">
        <v>185</v>
      </c>
      <c r="BS9" s="1494"/>
      <c r="BT9" s="1346">
        <v>64236875</v>
      </c>
      <c r="BU9" s="1133" t="s">
        <v>263</v>
      </c>
      <c r="BV9" s="1135"/>
      <c r="BW9" s="1755"/>
      <c r="BX9" s="1755"/>
    </row>
    <row customHeight="1" ht="11.25">
      <c r="A10" s="1139" t="s">
        <v>1422</v>
      </c>
      <c r="B10" s="1140">
        <v>2008</v>
      </c>
      <c r="E10" s="1141" t="s">
        <v>1423</v>
      </c>
      <c r="F10" s="1158"/>
      <c r="G10" s="1141" t="s">
        <v>1424</v>
      </c>
      <c r="H10" s="1141" t="s">
        <v>1425</v>
      </c>
      <c r="I10" s="1141" t="s">
        <v>151</v>
      </c>
      <c r="J10" s="1132" t="s">
        <v>1426</v>
      </c>
      <c r="K10" s="1132" t="s">
        <v>1427</v>
      </c>
      <c r="O10" s="1141" t="s">
        <v>1428</v>
      </c>
      <c r="V10" s="436" t="s">
        <v>151</v>
      </c>
      <c r="W10" s="1162"/>
      <c r="X10" s="1162" t="s">
        <v>1429</v>
      </c>
      <c r="Y10" s="1163" t="s">
        <v>1430</v>
      </c>
      <c r="Z10" s="1156"/>
      <c r="AP10" s="1152" t="s">
        <v>1429</v>
      </c>
      <c r="AQ10" s="1153" t="s">
        <v>1429</v>
      </c>
      <c r="AW10" s="1185" t="s">
        <v>1431</v>
      </c>
      <c r="AX10" s="1185" t="s">
        <v>1431</v>
      </c>
      <c r="AZ10" s="1185" t="s">
        <v>1432</v>
      </c>
      <c r="BB10" s="1185" t="s">
        <v>1433</v>
      </c>
      <c r="BC10" s="1185" t="s">
        <v>1349</v>
      </c>
      <c r="BE10" s="1185">
        <v>2008</v>
      </c>
      <c r="BF10" s="1185" t="s">
        <v>1434</v>
      </c>
      <c r="BH10" s="1133" t="s">
        <v>1435</v>
      </c>
      <c r="BJ10" s="1133" t="s">
        <v>1436</v>
      </c>
      <c r="BL10" s="1133" t="s">
        <v>1436</v>
      </c>
      <c r="BN10" s="1133" t="s">
        <v>1437</v>
      </c>
      <c r="BQ10" s="1346">
        <v>4213778</v>
      </c>
      <c r="BR10" s="1133" t="s">
        <v>199</v>
      </c>
      <c r="BS10" s="1494"/>
      <c r="BT10" s="1346">
        <v>64236876</v>
      </c>
      <c r="BU10" s="1133" t="s">
        <v>243</v>
      </c>
      <c r="BV10" s="1135"/>
      <c r="BW10" s="1755"/>
      <c r="BX10" s="1755"/>
    </row>
    <row customHeight="1" ht="11.25">
      <c r="A11" s="1139" t="s">
        <v>1438</v>
      </c>
      <c r="B11" s="1140">
        <v>2009</v>
      </c>
      <c r="E11" s="1141" t="s">
        <v>1439</v>
      </c>
      <c r="F11" s="1158"/>
      <c r="G11" s="1141" t="s">
        <v>1440</v>
      </c>
      <c r="H11" s="1141" t="s">
        <v>1441</v>
      </c>
      <c r="I11" s="1141" t="s">
        <v>152</v>
      </c>
      <c r="J11" s="1142" t="s">
        <v>1442</v>
      </c>
      <c r="K11" s="1164" t="s">
        <v>1443</v>
      </c>
      <c r="O11" s="1142" t="s">
        <v>1444</v>
      </c>
      <c r="V11" s="435" t="s">
        <v>152</v>
      </c>
      <c r="W11" s="340"/>
      <c r="X11" s="1149" t="s">
        <v>1414</v>
      </c>
      <c r="Y11" s="1140" t="s">
        <v>1445</v>
      </c>
      <c r="Z11" s="1156"/>
      <c r="AP11" s="1152" t="s">
        <v>211</v>
      </c>
      <c r="AQ11" s="1154" t="s">
        <v>211</v>
      </c>
      <c r="AW11" s="1185" t="s">
        <v>1446</v>
      </c>
      <c r="AX11" s="1185" t="s">
        <v>1446</v>
      </c>
      <c r="AZ11" s="1185" t="s">
        <v>1447</v>
      </c>
      <c r="BB11" s="1185" t="s">
        <v>1448</v>
      </c>
      <c r="BC11" s="1185" t="s">
        <v>1349</v>
      </c>
      <c r="BE11" s="1185">
        <v>2009</v>
      </c>
      <c r="BF11" s="1185" t="s">
        <v>1449</v>
      </c>
      <c r="BH11" s="1133" t="s">
        <v>1450</v>
      </c>
      <c r="BJ11" s="1133" t="s">
        <v>1419</v>
      </c>
      <c r="BL11" s="1133" t="s">
        <v>1419</v>
      </c>
      <c r="BN11" s="1133" t="s">
        <v>1451</v>
      </c>
      <c r="BQ11" s="1346">
        <v>4213780</v>
      </c>
      <c r="BR11" s="1133" t="s">
        <v>205</v>
      </c>
      <c r="BS11" s="1494"/>
      <c r="BW11" s="1755"/>
      <c r="BX11" s="1755"/>
    </row>
    <row customHeight="1" ht="11.25">
      <c r="A12" s="1139" t="s">
        <v>1452</v>
      </c>
      <c r="B12" s="1140">
        <v>2010</v>
      </c>
      <c r="E12" s="1141" t="s">
        <v>1453</v>
      </c>
      <c r="F12" s="1158"/>
      <c r="G12" s="1141" t="s">
        <v>1441</v>
      </c>
      <c r="I12" s="1141" t="s">
        <v>153</v>
      </c>
      <c r="J12" s="1142" t="s">
        <v>1454</v>
      </c>
      <c r="K12" s="1164" t="s">
        <v>1455</v>
      </c>
      <c r="O12" s="1142" t="s">
        <v>1245</v>
      </c>
      <c r="V12" s="435" t="s">
        <v>153</v>
      </c>
      <c r="W12" s="1154"/>
      <c r="X12" s="1149" t="s">
        <v>1456</v>
      </c>
      <c r="Y12" s="1140" t="s">
        <v>1251</v>
      </c>
      <c r="AP12" s="1152"/>
      <c r="AW12" s="1185" t="s">
        <v>152</v>
      </c>
      <c r="AX12" s="1185" t="s">
        <v>152</v>
      </c>
      <c r="AZ12" s="1185" t="s">
        <v>1457</v>
      </c>
      <c r="BB12" s="1185" t="s">
        <v>1458</v>
      </c>
      <c r="BC12" s="1185" t="s">
        <v>1349</v>
      </c>
      <c r="BE12" s="1185">
        <v>2010</v>
      </c>
      <c r="BF12" s="1185" t="s">
        <v>1459</v>
      </c>
      <c r="BH12" s="1133" t="s">
        <v>1460</v>
      </c>
      <c r="BJ12" s="1133" t="s">
        <v>1461</v>
      </c>
      <c r="BL12" s="1133" t="s">
        <v>1461</v>
      </c>
      <c r="BN12" s="1133" t="s">
        <v>1462</v>
      </c>
      <c r="BQ12" s="1346">
        <v>4213779</v>
      </c>
      <c r="BR12" s="1133" t="s">
        <v>1414</v>
      </c>
      <c r="BS12" s="1494"/>
      <c r="BT12" s="1135"/>
      <c r="BU12" s="1135"/>
      <c r="BV12" s="1135"/>
      <c r="BW12" s="1755"/>
      <c r="BX12" s="1755"/>
    </row>
    <row customHeight="1" ht="11.25">
      <c r="A13" s="1139" t="s">
        <v>1463</v>
      </c>
      <c r="B13" s="1140">
        <v>2011</v>
      </c>
      <c r="E13" s="1141" t="s">
        <v>1464</v>
      </c>
      <c r="F13" s="1158"/>
      <c r="I13" s="1141" t="s">
        <v>154</v>
      </c>
      <c r="K13" s="1164" t="s">
        <v>1413</v>
      </c>
      <c r="V13" s="435" t="s">
        <v>154</v>
      </c>
      <c r="W13" s="1154"/>
      <c r="X13" s="1154"/>
      <c r="Y13" s="1154"/>
      <c r="AW13" s="1185" t="s">
        <v>153</v>
      </c>
      <c r="AX13" s="1185" t="s">
        <v>153</v>
      </c>
      <c r="BB13" s="1185" t="s">
        <v>1465</v>
      </c>
      <c r="BC13" s="1185" t="s">
        <v>1466</v>
      </c>
      <c r="BE13" s="1185">
        <v>2011</v>
      </c>
      <c r="BF13" s="1185" t="s">
        <v>1467</v>
      </c>
      <c r="BH13" s="1133" t="s">
        <v>1468</v>
      </c>
      <c r="BJ13" s="1133" t="s">
        <v>1450</v>
      </c>
      <c r="BL13" s="1133" t="s">
        <v>1450</v>
      </c>
      <c r="BN13" s="1133" t="s">
        <v>1469</v>
      </c>
      <c r="BQ13" s="1346">
        <v>4213783</v>
      </c>
      <c r="BR13" s="1133" t="s">
        <v>1429</v>
      </c>
      <c r="BS13" s="1494"/>
      <c r="BT13" s="1135"/>
      <c r="BU13" s="1135"/>
      <c r="BV13" s="1135"/>
      <c r="BW13" s="1759"/>
      <c r="BX13" s="1755"/>
    </row>
    <row customHeight="1" ht="11.25">
      <c r="A14" s="1139" t="s">
        <v>1470</v>
      </c>
      <c r="B14" s="1140">
        <v>2012</v>
      </c>
      <c r="I14" s="1141" t="s">
        <v>155</v>
      </c>
      <c r="J14" s="1132" t="s">
        <v>1471</v>
      </c>
      <c r="N14" s="1132" t="s">
        <v>1472</v>
      </c>
      <c r="V14" s="1148">
        <v>13</v>
      </c>
      <c r="W14" s="1149"/>
      <c r="X14" s="1149" t="s">
        <v>1282</v>
      </c>
      <c r="Y14" s="1140" t="s">
        <v>1251</v>
      </c>
      <c r="AW14" s="1185" t="s">
        <v>154</v>
      </c>
      <c r="AX14" s="1185" t="s">
        <v>154</v>
      </c>
      <c r="AZ14" s="1132" t="s">
        <v>1473</v>
      </c>
      <c r="BB14" s="1185" t="s">
        <v>1474</v>
      </c>
      <c r="BC14" s="1185" t="s">
        <v>1466</v>
      </c>
      <c r="BE14" s="1185">
        <v>2012</v>
      </c>
      <c r="BH14" s="1133" t="s">
        <v>1389</v>
      </c>
      <c r="BJ14" s="1282" t="s">
        <v>1475</v>
      </c>
      <c r="BL14" s="1282" t="s">
        <v>1475</v>
      </c>
      <c r="BN14" s="1133" t="s">
        <v>1476</v>
      </c>
      <c r="BQ14" s="1346">
        <v>4213782</v>
      </c>
      <c r="BR14" s="1133" t="s">
        <v>211</v>
      </c>
      <c r="BS14" s="1494"/>
      <c r="BT14" s="1135"/>
      <c r="BU14" s="1135"/>
      <c r="BV14" s="1135"/>
      <c r="BW14" s="1759"/>
      <c r="BX14" s="1755"/>
    </row>
    <row customHeight="1" ht="19.5">
      <c r="A15" s="1139" t="s">
        <v>1477</v>
      </c>
      <c r="B15" s="1140">
        <v>2013</v>
      </c>
      <c r="E15" s="1763" t="s">
        <v>1478</v>
      </c>
      <c r="G15" s="1132" t="s">
        <v>1479</v>
      </c>
      <c r="H15" s="1132" t="s">
        <v>1480</v>
      </c>
      <c r="I15" s="1143" t="s">
        <v>156</v>
      </c>
      <c r="J15" s="1154" t="s">
        <v>603</v>
      </c>
      <c r="N15" s="1223" t="s">
        <v>1481</v>
      </c>
      <c r="X15" s="1152"/>
      <c r="AW15" s="1185" t="s">
        <v>155</v>
      </c>
      <c r="AX15" s="1185" t="s">
        <v>155</v>
      </c>
      <c r="AZ15" s="1185" t="s">
        <v>1400</v>
      </c>
      <c r="BB15" s="1185" t="s">
        <v>1482</v>
      </c>
      <c r="BC15" s="1185" t="s">
        <v>1466</v>
      </c>
      <c r="BE15" s="1185">
        <v>2013</v>
      </c>
      <c r="BH15" s="1133" t="s">
        <v>1405</v>
      </c>
      <c r="BJ15" s="1282" t="s">
        <v>1483</v>
      </c>
      <c r="BL15" s="1282" t="s">
        <v>1483</v>
      </c>
      <c r="BN15" s="1133" t="s">
        <v>1484</v>
      </c>
      <c r="BR15" s="1135"/>
      <c r="BS15" s="1496"/>
      <c r="BT15" s="1135"/>
      <c r="BU15" s="1135"/>
      <c r="BV15" s="1135"/>
      <c r="BW15" s="1759"/>
      <c r="BX15" s="1755"/>
    </row>
    <row customHeight="1" ht="21">
      <c r="A16" s="1935" t="s">
        <v>1485</v>
      </c>
      <c r="B16" s="1140">
        <v>2014</v>
      </c>
      <c r="E16" s="1764" t="s">
        <v>1486</v>
      </c>
      <c r="G16" s="1141" t="s">
        <v>1487</v>
      </c>
      <c r="H16" s="1141" t="s">
        <v>1488</v>
      </c>
      <c r="I16" s="1143" t="s">
        <v>1489</v>
      </c>
      <c r="J16" s="1154" t="s">
        <v>576</v>
      </c>
      <c r="N16" s="1223" t="s">
        <v>1490</v>
      </c>
      <c r="AW16" s="1185" t="s">
        <v>156</v>
      </c>
      <c r="AX16" s="1185" t="s">
        <v>156</v>
      </c>
      <c r="AZ16" s="1185" t="s">
        <v>1416</v>
      </c>
      <c r="BB16" s="1185" t="s">
        <v>1491</v>
      </c>
      <c r="BC16" s="1185" t="s">
        <v>1466</v>
      </c>
      <c r="BE16" s="1185">
        <v>2014</v>
      </c>
      <c r="BH16" s="1133" t="s">
        <v>1421</v>
      </c>
      <c r="BJ16" s="1282" t="s">
        <v>1492</v>
      </c>
      <c r="BL16" s="1282" t="s">
        <v>1492</v>
      </c>
      <c r="BN16" s="1133" t="s">
        <v>1493</v>
      </c>
      <c r="BR16" s="1135"/>
      <c r="BS16" s="1496"/>
      <c r="BT16" s="1135"/>
      <c r="BU16" s="1135"/>
      <c r="BV16" s="1135"/>
      <c r="BW16" s="1759"/>
      <c r="BX16" s="1755"/>
    </row>
    <row customHeight="1" ht="21">
      <c r="A17" s="1139" t="s">
        <v>1494</v>
      </c>
      <c r="B17" s="1140">
        <v>2015</v>
      </c>
      <c r="G17" s="1141" t="s">
        <v>1441</v>
      </c>
      <c r="H17" s="1141" t="s">
        <v>1441</v>
      </c>
      <c r="I17" s="1141" t="s">
        <v>1495</v>
      </c>
      <c r="N17" s="1223" t="s">
        <v>1496</v>
      </c>
      <c r="X17" s="1152"/>
      <c r="AW17" s="1185" t="s">
        <v>1489</v>
      </c>
      <c r="AX17" s="1185" t="s">
        <v>1489</v>
      </c>
      <c r="AZ17" s="1185" t="s">
        <v>1497</v>
      </c>
      <c r="BB17" s="1185" t="s">
        <v>1498</v>
      </c>
      <c r="BC17" s="1185" t="s">
        <v>1349</v>
      </c>
      <c r="BE17" s="1185">
        <v>2015</v>
      </c>
      <c r="BH17" s="1133" t="s">
        <v>1437</v>
      </c>
      <c r="BJ17" s="1282" t="s">
        <v>1499</v>
      </c>
      <c r="BL17" s="1282" t="s">
        <v>1499</v>
      </c>
      <c r="BN17" s="1133" t="s">
        <v>1500</v>
      </c>
      <c r="BR17" s="1132" t="s">
        <v>1293</v>
      </c>
      <c r="BS17" s="1493"/>
      <c r="BU17" s="1132" t="s">
        <v>1501</v>
      </c>
      <c r="BV17" s="1135"/>
      <c r="BW17" s="1755"/>
      <c r="BX17" s="1757" t="s">
        <v>1502</v>
      </c>
      <c r="CA17" s="1132" t="s">
        <v>1503</v>
      </c>
      <c r="CD17" s="1132" t="s">
        <v>1504</v>
      </c>
    </row>
    <row customHeight="1" ht="21">
      <c r="A18" s="1139" t="s">
        <v>1505</v>
      </c>
      <c r="B18" s="1140">
        <v>2016</v>
      </c>
      <c r="E18" s="2070" t="s">
        <v>1506</v>
      </c>
      <c r="I18" s="1141" t="s">
        <v>1507</v>
      </c>
      <c r="N18" s="1223" t="s">
        <v>1508</v>
      </c>
      <c r="X18" s="1152"/>
      <c r="AW18" s="1185" t="s">
        <v>1495</v>
      </c>
      <c r="AX18" s="1185" t="s">
        <v>1495</v>
      </c>
      <c r="BB18" s="1185" t="s">
        <v>1509</v>
      </c>
      <c r="BC18" s="1185" t="s">
        <v>1349</v>
      </c>
      <c r="BE18" s="1185">
        <v>2016</v>
      </c>
      <c r="BH18" s="1133" t="s">
        <v>1451</v>
      </c>
      <c r="BJ18" s="1282" t="s">
        <v>1510</v>
      </c>
      <c r="BL18" s="1282" t="s">
        <v>1510</v>
      </c>
      <c r="BN18" s="1133" t="s">
        <v>1511</v>
      </c>
      <c r="BQ18" s="1497" t="s">
        <v>1323</v>
      </c>
      <c r="BR18" s="1224" t="s">
        <v>1324</v>
      </c>
      <c r="BS18" s="339"/>
      <c r="BT18" s="1497" t="s">
        <v>1512</v>
      </c>
      <c r="BU18" s="1224" t="s">
        <v>1513</v>
      </c>
      <c r="BV18" s="1135"/>
      <c r="BW18" s="1762" t="s">
        <v>1514</v>
      </c>
      <c r="BX18" s="1756" t="s">
        <v>1515</v>
      </c>
      <c r="BZ18" s="1497" t="s">
        <v>1516</v>
      </c>
      <c r="CA18" s="1224" t="s">
        <v>1517</v>
      </c>
      <c r="CC18" s="1497" t="s">
        <v>1518</v>
      </c>
      <c r="CD18" s="1224" t="s">
        <v>1519</v>
      </c>
    </row>
    <row customHeight="1" ht="21">
      <c r="A19" s="1935" t="s">
        <v>1520</v>
      </c>
      <c r="B19" s="1140">
        <v>2017</v>
      </c>
      <c r="E19" s="1139" t="s">
        <v>169</v>
      </c>
      <c r="I19" s="1141" t="s">
        <v>1521</v>
      </c>
      <c r="N19" s="1223" t="s">
        <v>1522</v>
      </c>
      <c r="X19" s="1152"/>
      <c r="AW19" s="1185" t="s">
        <v>1507</v>
      </c>
      <c r="AX19" s="1185" t="s">
        <v>1507</v>
      </c>
      <c r="AZ19" s="1132" t="s">
        <v>1523</v>
      </c>
      <c r="BB19" s="1185" t="s">
        <v>1524</v>
      </c>
      <c r="BC19" s="1185" t="s">
        <v>1349</v>
      </c>
      <c r="BE19" s="1185">
        <v>2017</v>
      </c>
      <c r="BH19" s="1133" t="s">
        <v>1525</v>
      </c>
      <c r="BJ19" s="1282" t="s">
        <v>1526</v>
      </c>
      <c r="BL19" s="1282" t="s">
        <v>1526</v>
      </c>
      <c r="BQ19" s="1346">
        <v>4190064</v>
      </c>
      <c r="BR19" s="1133" t="s">
        <v>1527</v>
      </c>
      <c r="BS19" s="1494"/>
      <c r="BT19" s="1346">
        <v>4189671</v>
      </c>
      <c r="BU19" s="1133" t="s">
        <v>1528</v>
      </c>
      <c r="BV19" s="1135"/>
      <c r="BW19" s="1760">
        <v>4189706</v>
      </c>
      <c r="BX19" s="1758" t="s">
        <v>1529</v>
      </c>
      <c r="BZ19" s="1346">
        <v>4189714</v>
      </c>
      <c r="CA19" s="1133" t="s">
        <v>1530</v>
      </c>
      <c r="CC19" s="1346">
        <v>4189708</v>
      </c>
      <c r="CD19" s="1133" t="s">
        <v>1531</v>
      </c>
    </row>
    <row customHeight="1" ht="21">
      <c r="A20" s="1139" t="s">
        <v>1532</v>
      </c>
      <c r="B20" s="1140">
        <v>2018</v>
      </c>
      <c r="E20" s="1139" t="s">
        <v>1282</v>
      </c>
      <c r="I20" s="1141" t="s">
        <v>102</v>
      </c>
      <c r="N20" s="1223" t="s">
        <v>1533</v>
      </c>
      <c r="AW20" s="1185" t="s">
        <v>1521</v>
      </c>
      <c r="AX20" s="1185" t="s">
        <v>1521</v>
      </c>
      <c r="AZ20" s="1185" t="s">
        <v>1534</v>
      </c>
      <c r="BB20" s="1185" t="s">
        <v>1535</v>
      </c>
      <c r="BC20" s="1185" t="s">
        <v>1466</v>
      </c>
      <c r="BE20" s="1185">
        <v>2018</v>
      </c>
      <c r="BH20" s="1133" t="s">
        <v>1462</v>
      </c>
      <c r="BJ20" s="1133" t="s">
        <v>1389</v>
      </c>
      <c r="BL20" s="1133" t="s">
        <v>1389</v>
      </c>
      <c r="BQ20" s="1346">
        <v>4190065</v>
      </c>
      <c r="BR20" s="1133" t="s">
        <v>1536</v>
      </c>
      <c r="BS20" s="1494"/>
      <c r="BT20" s="1346">
        <v>4189672</v>
      </c>
      <c r="BU20" s="1133" t="s">
        <v>1537</v>
      </c>
      <c r="BV20" s="1135"/>
      <c r="BW20" s="1760">
        <v>4189705</v>
      </c>
      <c r="BX20" s="1758" t="s">
        <v>1538</v>
      </c>
      <c r="BZ20" s="1346">
        <v>4189713</v>
      </c>
      <c r="CA20" s="1133" t="s">
        <v>1538</v>
      </c>
      <c r="CC20" s="1346">
        <v>4189709</v>
      </c>
      <c r="CD20" s="1133" t="s">
        <v>1539</v>
      </c>
    </row>
    <row customHeight="1" ht="21">
      <c r="A21" s="1139" t="s">
        <v>1540</v>
      </c>
      <c r="B21" s="1140">
        <v>2019</v>
      </c>
      <c r="I21" s="1141" t="s">
        <v>1541</v>
      </c>
      <c r="N21" s="1223" t="s">
        <v>1542</v>
      </c>
      <c r="AW21" s="1185" t="s">
        <v>102</v>
      </c>
      <c r="AX21" s="1185" t="s">
        <v>102</v>
      </c>
      <c r="AZ21" s="1185" t="s">
        <v>1543</v>
      </c>
      <c r="BB21" s="1185" t="s">
        <v>1544</v>
      </c>
      <c r="BC21" s="1185" t="s">
        <v>1349</v>
      </c>
      <c r="BE21" s="1185">
        <v>2019</v>
      </c>
      <c r="BH21" s="1133" t="s">
        <v>1469</v>
      </c>
      <c r="BJ21" s="1133" t="s">
        <v>1405</v>
      </c>
      <c r="BL21" s="1133" t="s">
        <v>1405</v>
      </c>
      <c r="BQ21" s="1346">
        <v>4190066</v>
      </c>
      <c r="BR21" s="1133" t="s">
        <v>1545</v>
      </c>
      <c r="BS21" s="1494"/>
      <c r="BT21" s="1346">
        <v>4189673</v>
      </c>
      <c r="BU21" s="1133" t="s">
        <v>1546</v>
      </c>
      <c r="BV21" s="1135"/>
      <c r="BW21" s="1760">
        <v>4189707</v>
      </c>
      <c r="BX21" s="1758" t="s">
        <v>1547</v>
      </c>
      <c r="BZ21" s="1346">
        <v>4189712</v>
      </c>
      <c r="CA21" s="1133" t="s">
        <v>1548</v>
      </c>
      <c r="CC21" s="1346">
        <v>4189710</v>
      </c>
      <c r="CD21" s="1133" t="s">
        <v>1549</v>
      </c>
    </row>
    <row customHeight="1" ht="21">
      <c r="A22" s="1139" t="s">
        <v>1550</v>
      </c>
      <c r="B22" s="1140">
        <v>2020</v>
      </c>
      <c r="N22" s="1223" t="s">
        <v>1551</v>
      </c>
      <c r="AW22" s="1185" t="s">
        <v>1541</v>
      </c>
      <c r="AX22" s="1185" t="s">
        <v>1541</v>
      </c>
      <c r="AZ22" s="1185" t="s">
        <v>1552</v>
      </c>
      <c r="BB22" s="1185" t="s">
        <v>1553</v>
      </c>
      <c r="BC22" s="1185" t="s">
        <v>1349</v>
      </c>
      <c r="BE22" s="1185">
        <v>2020</v>
      </c>
      <c r="BH22" s="1133" t="s">
        <v>1476</v>
      </c>
      <c r="BJ22" s="1133" t="s">
        <v>1421</v>
      </c>
      <c r="BL22" s="1133" t="s">
        <v>1421</v>
      </c>
      <c r="BQ22" s="1346">
        <v>4190067</v>
      </c>
      <c r="BR22" s="1133" t="s">
        <v>1554</v>
      </c>
      <c r="BS22" s="1494"/>
      <c r="BT22" s="1346">
        <v>4189674</v>
      </c>
      <c r="BU22" s="1133" t="s">
        <v>1555</v>
      </c>
      <c r="BV22" s="1135"/>
      <c r="BW22" s="1135"/>
      <c r="CC22" s="1346">
        <v>4189711</v>
      </c>
      <c r="CD22" s="1133" t="s">
        <v>312</v>
      </c>
    </row>
    <row customHeight="1" ht="21">
      <c r="A23" s="1139" t="s">
        <v>1556</v>
      </c>
      <c r="B23" s="1140">
        <v>2021</v>
      </c>
      <c r="AW23" s="1185" t="s">
        <v>1557</v>
      </c>
      <c r="AX23" s="1185" t="s">
        <v>1557</v>
      </c>
      <c r="AZ23" s="1185" t="s">
        <v>1558</v>
      </c>
      <c r="BB23" s="1185" t="s">
        <v>1559</v>
      </c>
      <c r="BC23" s="1185" t="s">
        <v>1261</v>
      </c>
      <c r="BE23" s="1185">
        <v>2021</v>
      </c>
      <c r="BH23" s="1133" t="s">
        <v>1484</v>
      </c>
      <c r="BJ23" s="1133" t="s">
        <v>1437</v>
      </c>
      <c r="BL23" s="1133" t="s">
        <v>1437</v>
      </c>
      <c r="BQ23" s="1346">
        <v>4190068</v>
      </c>
      <c r="BR23" s="1133" t="s">
        <v>1560</v>
      </c>
      <c r="BS23" s="1494"/>
      <c r="BT23" s="1346">
        <v>4189675</v>
      </c>
      <c r="BU23" s="1133" t="s">
        <v>1561</v>
      </c>
      <c r="BV23" s="1135"/>
      <c r="BW23" s="1135"/>
      <c r="CC23" s="1346">
        <v>5110778</v>
      </c>
      <c r="CD23" s="1133" t="s">
        <v>1562</v>
      </c>
    </row>
    <row customHeight="1" ht="21">
      <c r="A24" s="1139" t="s">
        <v>1563</v>
      </c>
      <c r="B24" s="1140">
        <v>2022</v>
      </c>
      <c r="AW24" s="1185" t="s">
        <v>1564</v>
      </c>
      <c r="AX24" s="1185" t="s">
        <v>1564</v>
      </c>
      <c r="AZ24" s="1185" t="s">
        <v>1565</v>
      </c>
      <c r="BB24" s="1185" t="s">
        <v>1566</v>
      </c>
      <c r="BC24" s="1185" t="s">
        <v>1567</v>
      </c>
      <c r="BE24" s="1185">
        <v>2022</v>
      </c>
      <c r="BH24" s="1133" t="s">
        <v>1493</v>
      </c>
      <c r="BJ24" s="1133" t="s">
        <v>1451</v>
      </c>
      <c r="BL24" s="1133" t="s">
        <v>1451</v>
      </c>
      <c r="BQ24" s="1346">
        <v>4190069</v>
      </c>
      <c r="BR24" s="1133" t="s">
        <v>1568</v>
      </c>
      <c r="BS24" s="1494"/>
      <c r="BT24" s="1346">
        <v>4189676</v>
      </c>
      <c r="BU24" s="1133" t="s">
        <v>1569</v>
      </c>
      <c r="BV24" s="1135"/>
      <c r="BW24" s="1135"/>
      <c r="CC24" s="1346">
        <v>25575374</v>
      </c>
      <c r="CD24" s="1133" t="s">
        <v>1570</v>
      </c>
    </row>
    <row customHeight="1" ht="11.25">
      <c r="A25" s="1139" t="s">
        <v>1571</v>
      </c>
      <c r="B25" s="1140">
        <v>2023</v>
      </c>
      <c r="AW25" s="1185" t="s">
        <v>1572</v>
      </c>
      <c r="AX25" s="1185" t="s">
        <v>1572</v>
      </c>
      <c r="AZ25" s="1185" t="s">
        <v>1573</v>
      </c>
      <c r="BB25" s="1185" t="s">
        <v>1574</v>
      </c>
      <c r="BC25" s="1185" t="s">
        <v>1567</v>
      </c>
      <c r="BE25" s="1185">
        <v>2023</v>
      </c>
      <c r="BH25" s="1133" t="s">
        <v>1500</v>
      </c>
      <c r="BJ25" s="1133" t="s">
        <v>1525</v>
      </c>
      <c r="BL25" s="1133" t="s">
        <v>1525</v>
      </c>
      <c r="BQ25" s="1346">
        <v>4190070</v>
      </c>
      <c r="BR25" s="1133" t="s">
        <v>1575</v>
      </c>
      <c r="BS25" s="1494"/>
      <c r="BT25" s="1346">
        <v>4189677</v>
      </c>
      <c r="BU25" s="1133" t="s">
        <v>1576</v>
      </c>
      <c r="BV25" s="1135"/>
      <c r="BW25" s="1135"/>
    </row>
    <row customHeight="1" ht="11.25">
      <c r="A26" s="1139" t="s">
        <v>1577</v>
      </c>
      <c r="B26" s="1140">
        <v>2024</v>
      </c>
      <c r="J26" s="1796" t="s">
        <v>1578</v>
      </c>
      <c r="AX26" s="1185" t="s">
        <v>1579</v>
      </c>
      <c r="AZ26" s="1185" t="s">
        <v>1444</v>
      </c>
      <c r="BB26" s="1185" t="s">
        <v>1580</v>
      </c>
      <c r="BC26" s="1185" t="s">
        <v>1567</v>
      </c>
      <c r="BE26" s="1185">
        <v>2024</v>
      </c>
      <c r="BH26" s="1133" t="s">
        <v>1511</v>
      </c>
      <c r="BJ26" s="1133" t="s">
        <v>1462</v>
      </c>
      <c r="BL26" s="1133" t="s">
        <v>1462</v>
      </c>
      <c r="BQ26" s="1346">
        <v>4190071</v>
      </c>
      <c r="BR26" s="1133" t="s">
        <v>1581</v>
      </c>
      <c r="BS26" s="1494"/>
      <c r="BV26" s="1135"/>
      <c r="BW26" s="1135"/>
    </row>
    <row customHeight="1" ht="11.25">
      <c r="A27" s="1139" t="s">
        <v>1582</v>
      </c>
      <c r="B27" s="1140">
        <v>2025</v>
      </c>
      <c r="J27" s="241" t="s">
        <v>193</v>
      </c>
      <c r="AX27" s="1185" t="s">
        <v>1583</v>
      </c>
      <c r="BB27" s="1185" t="s">
        <v>1584</v>
      </c>
      <c r="BC27" s="1185" t="s">
        <v>1567</v>
      </c>
      <c r="BE27" s="1185">
        <v>2025</v>
      </c>
      <c r="BH27" s="1135" t="s">
        <v>28</v>
      </c>
      <c r="BJ27" s="1133" t="s">
        <v>1469</v>
      </c>
      <c r="BL27" s="1133" t="s">
        <v>1469</v>
      </c>
      <c r="BN27" s="1135" t="s">
        <v>28</v>
      </c>
      <c r="BQ27" s="1346">
        <v>4190072</v>
      </c>
      <c r="BR27" s="1133" t="s">
        <v>1585</v>
      </c>
      <c r="BS27" s="1494"/>
      <c r="BV27" s="1135"/>
      <c r="BW27" s="1135"/>
    </row>
    <row customHeight="1" ht="11.25">
      <c r="A28" s="1139" t="s">
        <v>1586</v>
      </c>
      <c r="D28" s="1166"/>
      <c r="E28" s="1167"/>
      <c r="F28" s="1167"/>
      <c r="H28" s="1168" t="s">
        <v>1587</v>
      </c>
      <c r="AX28" s="1185" t="s">
        <v>1588</v>
      </c>
      <c r="AZ28" s="1132" t="s">
        <v>1589</v>
      </c>
      <c r="BB28" s="1185" t="s">
        <v>1590</v>
      </c>
      <c r="BC28" s="1185" t="s">
        <v>1591</v>
      </c>
      <c r="BE28" s="1185">
        <v>2026</v>
      </c>
      <c r="BH28" s="1135" t="s">
        <v>28</v>
      </c>
      <c r="BJ28" s="1133" t="s">
        <v>1476</v>
      </c>
      <c r="BL28" s="1133" t="s">
        <v>1476</v>
      </c>
      <c r="BN28" s="1135" t="s">
        <v>28</v>
      </c>
      <c r="BQ28" s="1346">
        <v>4190073</v>
      </c>
      <c r="BR28" s="1133" t="s">
        <v>1592</v>
      </c>
      <c r="BS28" s="1494"/>
      <c r="BV28" s="1135"/>
      <c r="BW28" s="1135"/>
    </row>
    <row customHeight="1" ht="11.25">
      <c r="A29" s="1139" t="s">
        <v>1593</v>
      </c>
      <c r="D29" s="1169" t="s">
        <v>1594</v>
      </c>
      <c r="E29" s="1170" t="str">
        <f>IF(TEMPLATE_GROUP="","",INDEX(StartDateList,MATCH(TEMPLATE_GROUP,CodeTemplateList,0),1))</f>
        <v>01.01.2024</v>
      </c>
      <c r="F29" s="1170" t="str">
        <f>IF(TEMPLATE_GROUP="","",INDEX(EndDateList,MATCH(TEMPLATE_GROUP,CodeTemplateList,0),1))</f>
        <v>31.12.2028</v>
      </c>
      <c r="H29" s="1171" t="s">
        <v>1595</v>
      </c>
      <c r="AX29" s="1185" t="s">
        <v>1596</v>
      </c>
      <c r="AZ29" s="1185" t="s">
        <v>1246</v>
      </c>
      <c r="BB29" s="1185" t="s">
        <v>1444</v>
      </c>
      <c r="BC29" s="1156"/>
      <c r="BE29" s="1185">
        <v>2027</v>
      </c>
      <c r="BJ29" s="1133" t="s">
        <v>1484</v>
      </c>
      <c r="BL29" s="1133" t="s">
        <v>1484</v>
      </c>
    </row>
    <row customHeight="1" ht="11.25">
      <c r="A30" s="1139" t="s">
        <v>1597</v>
      </c>
      <c r="D30" s="1172"/>
      <c r="E30" s="1173"/>
      <c r="F30" s="1173"/>
      <c r="AX30" s="1185" t="s">
        <v>1598</v>
      </c>
      <c r="AZ30" s="1185" t="s">
        <v>1271</v>
      </c>
      <c r="BE30" s="1185">
        <v>2028</v>
      </c>
      <c r="BJ30" s="1133" t="s">
        <v>1599</v>
      </c>
      <c r="BL30" s="1133" t="s">
        <v>1599</v>
      </c>
    </row>
    <row customHeight="1" ht="12.75">
      <c r="A31" s="1139" t="s">
        <v>1600</v>
      </c>
      <c r="D31" s="1166"/>
      <c r="E31" s="1167"/>
      <c r="F31" s="1167"/>
      <c r="H31" s="1174"/>
      <c r="AX31" s="1185" t="s">
        <v>1601</v>
      </c>
      <c r="AZ31" s="1185" t="s">
        <v>469</v>
      </c>
      <c r="BE31" s="1185">
        <v>2029</v>
      </c>
      <c r="BJ31" s="1133" t="s">
        <v>1602</v>
      </c>
      <c r="BL31" s="1133" t="s">
        <v>1602</v>
      </c>
    </row>
    <row customHeight="1" ht="11.25">
      <c r="A32" s="1139" t="s">
        <v>1603</v>
      </c>
      <c r="D32" s="1169" t="s">
        <v>1604</v>
      </c>
      <c r="E32" s="1170" t="str">
        <f>IF(TEMPLATE_GROUP="","",INDEX(StartDateList,MATCH(TEMPLATE_GROUP,CodeTemplateList,0),1))</f>
        <v>01.01.2024</v>
      </c>
      <c r="F32" s="1170" t="str">
        <f>IF(TEMPLATE_GROUP="","",INDEX(EndDateList,MATCH(TEMPLATE_GROUP,CodeTemplateList,0),1))</f>
        <v>31.12.2028</v>
      </c>
      <c r="H32" s="1175" t="s">
        <v>1605</v>
      </c>
      <c r="O32" s="1139" t="s">
        <v>466</v>
      </c>
      <c r="AX32" s="1185" t="s">
        <v>1606</v>
      </c>
      <c r="AZ32" s="1185" t="s">
        <v>465</v>
      </c>
      <c r="BE32" s="1185">
        <v>2030</v>
      </c>
      <c r="BJ32" s="1133" t="s">
        <v>1493</v>
      </c>
      <c r="BL32" s="1133" t="s">
        <v>1493</v>
      </c>
    </row>
    <row customHeight="1" ht="11.25">
      <c r="A33" s="1139" t="s">
        <v>1607</v>
      </c>
      <c r="O33" s="1139" t="s">
        <v>1270</v>
      </c>
      <c r="AX33" s="1185" t="s">
        <v>1608</v>
      </c>
      <c r="AZ33" s="1185" t="s">
        <v>1245</v>
      </c>
      <c r="BE33" s="1185">
        <v>2031</v>
      </c>
      <c r="BJ33" s="1133" t="s">
        <v>1500</v>
      </c>
      <c r="BL33" s="1133" t="s">
        <v>1500</v>
      </c>
    </row>
    <row customHeight="1" ht="11.25">
      <c r="A34" s="1139" t="s">
        <v>1609</v>
      </c>
      <c r="O34" s="1139" t="s">
        <v>1304</v>
      </c>
      <c r="AX34" s="1185" t="s">
        <v>1610</v>
      </c>
      <c r="BE34" s="1185">
        <v>2032</v>
      </c>
      <c r="BJ34" s="1133" t="s">
        <v>1511</v>
      </c>
      <c r="BL34" s="1133" t="s">
        <v>1511</v>
      </c>
    </row>
    <row customHeight="1" ht="11.25">
      <c r="A35" s="1139" t="s">
        <v>1611</v>
      </c>
      <c r="O35" s="1139" t="s">
        <v>1337</v>
      </c>
      <c r="AX35" s="1185" t="s">
        <v>1612</v>
      </c>
      <c r="AZ35" s="1132" t="s">
        <v>1613</v>
      </c>
      <c r="BE35" s="1185">
        <v>2033</v>
      </c>
      <c r="BL35" s="1133" t="s">
        <v>1614</v>
      </c>
    </row>
    <row customHeight="1" ht="11.25">
      <c r="A36" s="1935" t="s">
        <v>1615</v>
      </c>
      <c r="D36" s="1176" t="s">
        <v>1616</v>
      </c>
      <c r="E36" s="1177" t="s">
        <v>827</v>
      </c>
      <c r="F36" s="1178" t="str">
        <f>INDEX(E37:E41,MATCH(TEMPLATE_SPHERE,F37:F41,0))</f>
        <v>теплоснабжения</v>
      </c>
      <c r="G36" s="1178" t="str">
        <f>INDEX(G37:G41,MATCH(TEMPLATE_SPHERE,F37:F41,0))</f>
        <v>теплоснабжение</v>
      </c>
      <c r="O36" s="1139" t="s">
        <v>1360</v>
      </c>
      <c r="AX36" s="1185" t="s">
        <v>1617</v>
      </c>
      <c r="AZ36" s="1185" t="s">
        <v>1245</v>
      </c>
      <c r="BE36" s="1185">
        <v>2034</v>
      </c>
      <c r="BL36" s="1133" t="s">
        <v>1618</v>
      </c>
    </row>
    <row customHeight="1" ht="11.25">
      <c r="A37" s="1139" t="s">
        <v>1619</v>
      </c>
      <c r="E37" s="472" t="s">
        <v>1620</v>
      </c>
      <c r="F37" s="1179" t="s">
        <v>827</v>
      </c>
      <c r="G37" s="472" t="s">
        <v>1621</v>
      </c>
      <c r="O37" s="1139" t="s">
        <v>1379</v>
      </c>
      <c r="AX37" s="1185" t="s">
        <v>1622</v>
      </c>
      <c r="AZ37" s="1185" t="s">
        <v>464</v>
      </c>
      <c r="BE37" s="1185">
        <v>2035</v>
      </c>
    </row>
    <row customHeight="1" ht="11.25">
      <c r="A38" s="1139" t="s">
        <v>1623</v>
      </c>
      <c r="E38" s="472" t="s">
        <v>1624</v>
      </c>
      <c r="F38" s="1180" t="s">
        <v>873</v>
      </c>
      <c r="G38" s="472" t="s">
        <v>1625</v>
      </c>
      <c r="O38" s="1139" t="s">
        <v>1396</v>
      </c>
      <c r="AX38" s="1185" t="s">
        <v>1626</v>
      </c>
      <c r="AZ38" s="1185" t="s">
        <v>1305</v>
      </c>
      <c r="BE38" s="1185">
        <v>2036</v>
      </c>
      <c r="BH38" s="1132" t="s">
        <v>1627</v>
      </c>
      <c r="BJ38" s="1132" t="s">
        <v>1628</v>
      </c>
      <c r="BL38" s="1132" t="s">
        <v>1629</v>
      </c>
      <c r="BN38" s="1132" t="s">
        <v>1630</v>
      </c>
    </row>
    <row customHeight="1" ht="11.25">
      <c r="A39" s="1139" t="s">
        <v>1631</v>
      </c>
      <c r="E39" s="472" t="s">
        <v>1632</v>
      </c>
      <c r="F39" s="1180" t="s">
        <v>926</v>
      </c>
      <c r="G39" s="472" t="s">
        <v>1633</v>
      </c>
      <c r="O39" s="1139" t="s">
        <v>1412</v>
      </c>
      <c r="AX39" s="1185" t="s">
        <v>1634</v>
      </c>
      <c r="AZ39" s="1185" t="s">
        <v>468</v>
      </c>
      <c r="BE39" s="1185">
        <v>2037</v>
      </c>
      <c r="BH39" s="1133" t="s">
        <v>1635</v>
      </c>
      <c r="BJ39" s="1282" t="s">
        <v>1635</v>
      </c>
      <c r="BL39" s="1282" t="s">
        <v>1635</v>
      </c>
      <c r="BN39" s="1133" t="s">
        <v>1636</v>
      </c>
    </row>
    <row customHeight="1" ht="11.25">
      <c r="A40" s="1139" t="s">
        <v>1637</v>
      </c>
      <c r="E40" s="472" t="s">
        <v>1638</v>
      </c>
      <c r="F40" s="1180" t="s">
        <v>913</v>
      </c>
      <c r="G40" s="472" t="s">
        <v>1639</v>
      </c>
      <c r="O40" s="1139" t="s">
        <v>1428</v>
      </c>
      <c r="AX40" s="1185" t="s">
        <v>1640</v>
      </c>
      <c r="BE40" s="1185">
        <v>2038</v>
      </c>
      <c r="BH40" s="1133" t="s">
        <v>1641</v>
      </c>
      <c r="BJ40" s="1282" t="s">
        <v>1046</v>
      </c>
      <c r="BL40" s="1282" t="s">
        <v>1046</v>
      </c>
      <c r="BN40" s="1133" t="s">
        <v>1080</v>
      </c>
    </row>
    <row customHeight="1" ht="11.25">
      <c r="A41" s="1139" t="s">
        <v>1642</v>
      </c>
      <c r="E41" s="472" t="s">
        <v>1643</v>
      </c>
      <c r="F41" s="1180" t="s">
        <v>1644</v>
      </c>
      <c r="G41" s="472" t="s">
        <v>1643</v>
      </c>
      <c r="O41" s="1139" t="s">
        <v>1444</v>
      </c>
      <c r="AX41" s="1185" t="s">
        <v>1645</v>
      </c>
      <c r="AZ41" s="1132" t="s">
        <v>1646</v>
      </c>
      <c r="BE41" s="1185">
        <v>2039</v>
      </c>
      <c r="BH41" s="1133" t="s">
        <v>1647</v>
      </c>
      <c r="BJ41" s="1282" t="s">
        <v>1042</v>
      </c>
      <c r="BL41" s="1282" t="s">
        <v>1042</v>
      </c>
      <c r="BN41" s="1133" t="s">
        <v>1067</v>
      </c>
    </row>
    <row customHeight="1" ht="11.25">
      <c r="A42" s="1139" t="s">
        <v>1648</v>
      </c>
      <c r="AX42" s="1185" t="s">
        <v>1649</v>
      </c>
      <c r="AZ42" s="1185" t="s">
        <v>466</v>
      </c>
      <c r="BE42" s="1185">
        <v>2040</v>
      </c>
      <c r="BH42" s="1133" t="s">
        <v>1064</v>
      </c>
      <c r="BJ42" s="1282" t="s">
        <v>1044</v>
      </c>
      <c r="BL42" s="1282" t="s">
        <v>1044</v>
      </c>
      <c r="BN42" s="1133" t="s">
        <v>1650</v>
      </c>
    </row>
    <row customHeight="1" ht="11.25">
      <c r="A43" s="1139" t="s">
        <v>1651</v>
      </c>
      <c r="AX43" s="1185" t="s">
        <v>1652</v>
      </c>
      <c r="AZ43" s="1185" t="s">
        <v>1270</v>
      </c>
      <c r="BE43" s="1185">
        <v>2041</v>
      </c>
      <c r="BH43" s="1133" t="s">
        <v>1653</v>
      </c>
      <c r="BJ43" s="1282" t="s">
        <v>1647</v>
      </c>
      <c r="BL43" s="1282" t="s">
        <v>1647</v>
      </c>
      <c r="BN43" s="1133" t="s">
        <v>1654</v>
      </c>
    </row>
    <row customHeight="1" ht="11.25">
      <c r="A44" s="1139" t="s">
        <v>1655</v>
      </c>
      <c r="G44" s="1159">
        <f>YEAR(TODAY())</f>
        <v>2024</v>
      </c>
      <c r="I44" s="864" t="s">
        <v>1656</v>
      </c>
      <c r="J44" s="1154" t="s">
        <v>1657</v>
      </c>
      <c r="K44" s="1154" t="s">
        <v>1658</v>
      </c>
      <c r="AX44" s="1185" t="s">
        <v>1659</v>
      </c>
      <c r="AZ44" s="1185" t="s">
        <v>1304</v>
      </c>
      <c r="BE44" s="1185">
        <v>2042</v>
      </c>
      <c r="BH44" s="1133" t="s">
        <v>1660</v>
      </c>
      <c r="BJ44" s="1282" t="s">
        <v>1064</v>
      </c>
      <c r="BL44" s="1282" t="s">
        <v>1064</v>
      </c>
      <c r="BN44" s="1133" t="s">
        <v>1661</v>
      </c>
    </row>
    <row customHeight="1" ht="11.25">
      <c r="A45" s="1139" t="s">
        <v>1662</v>
      </c>
      <c r="D45" s="1176" t="s">
        <v>1663</v>
      </c>
      <c r="E45" s="1177" t="s">
        <v>1664</v>
      </c>
      <c r="F45" s="862" t="s">
        <v>1665</v>
      </c>
      <c r="G45" s="861" t="s">
        <v>1666</v>
      </c>
      <c r="H45" s="864" t="s">
        <v>1667</v>
      </c>
      <c r="I45" s="1806">
        <f>INDEX(PeriodIsEmptyList,MATCH(TEMPLATE_GROUP,CodeTemplateList,0),1)</f>
        <v>0</v>
      </c>
      <c r="J45" s="1809" t="str">
        <f>INDEX(NameTemplatesInTitleList,MATCH(TEMPLATE_GROUP,CodeTemplateList,0),1)</f>
        <v>Показатели, подлежащие раскрытию в сфере теплоснабжения (цены и тарифы)</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1668</v>
      </c>
      <c r="AZ45" s="1185" t="s">
        <v>1337</v>
      </c>
      <c r="BE45" s="1185">
        <v>2043</v>
      </c>
      <c r="BH45" s="1133" t="s">
        <v>1669</v>
      </c>
      <c r="BJ45" s="1282" t="s">
        <v>1058</v>
      </c>
      <c r="BL45" s="1282" t="s">
        <v>1058</v>
      </c>
      <c r="BN45" s="1133" t="s">
        <v>1670</v>
      </c>
    </row>
    <row customHeight="1" ht="11.25">
      <c r="A46" s="1139" t="s">
        <v>1671</v>
      </c>
      <c r="E46" s="472" t="s">
        <v>26</v>
      </c>
      <c r="F46" s="1179" t="s">
        <v>1672</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1673</v>
      </c>
      <c r="AZ46" s="1185" t="s">
        <v>1360</v>
      </c>
      <c r="BE46" s="1185">
        <v>2044</v>
      </c>
      <c r="BH46" s="1133" t="s">
        <v>1067</v>
      </c>
      <c r="BJ46" s="1282" t="s">
        <v>1048</v>
      </c>
      <c r="BL46" s="1282" t="s">
        <v>1048</v>
      </c>
      <c r="BN46" s="1133" t="s">
        <v>1674</v>
      </c>
    </row>
    <row customHeight="1" ht="11.25">
      <c r="A47" s="1139" t="s">
        <v>1675</v>
      </c>
      <c r="E47" s="472" t="s">
        <v>33</v>
      </c>
      <c r="F47" s="1180" t="s">
        <v>1676</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1677</v>
      </c>
      <c r="AZ47" s="1185" t="s">
        <v>1379</v>
      </c>
      <c r="BE47" s="1185">
        <v>2045</v>
      </c>
      <c r="BH47" s="1133" t="s">
        <v>1650</v>
      </c>
      <c r="BJ47" s="1282" t="s">
        <v>1050</v>
      </c>
      <c r="BL47" s="1282" t="s">
        <v>1050</v>
      </c>
      <c r="BN47" s="1133" t="s">
        <v>1678</v>
      </c>
    </row>
    <row customHeight="1" ht="11.25">
      <c r="A48" s="1139" t="s">
        <v>1679</v>
      </c>
      <c r="E48" s="472" t="s">
        <v>1680</v>
      </c>
      <c r="F48" s="1180" t="s">
        <v>1681</v>
      </c>
      <c r="G48" s="1181" t="str">
        <f>_xlfn.IFERROR(IF(f_year="","01.01."&amp;CURRENT_YEAR,"01.01."&amp;f_year),"01.01."&amp;CURRENT_YEAR)</f>
        <v>01.01.2024</v>
      </c>
      <c r="H48" s="1181" t="str">
        <f>_xlfn.IFERROR(IF(f_year="","31.12."&amp;CURRENT_YEAR,"31.12."&amp;f_year),"31.12."&amp;CURRENT_YEAR)</f>
        <v>31.12.2024</v>
      </c>
      <c r="I48" s="1807">
        <f>IF(f_year="",TRUE,FALSE)</f>
        <v>1</v>
      </c>
      <c r="J48" s="1810" t="s">
        <v>1682</v>
      </c>
      <c r="K48" s="1811"/>
      <c r="AX48" s="1185" t="s">
        <v>1683</v>
      </c>
      <c r="AZ48" s="1185" t="s">
        <v>1396</v>
      </c>
      <c r="BE48" s="1185">
        <v>2046</v>
      </c>
      <c r="BH48" s="1133" t="s">
        <v>1654</v>
      </c>
      <c r="BJ48" s="1282" t="s">
        <v>1052</v>
      </c>
      <c r="BL48" s="1282" t="s">
        <v>1052</v>
      </c>
      <c r="BN48" s="1133" t="s">
        <v>1684</v>
      </c>
    </row>
    <row customHeight="1" ht="11.25">
      <c r="A49" s="1139" t="s">
        <v>1685</v>
      </c>
      <c r="E49" s="472" t="s">
        <v>1686</v>
      </c>
      <c r="F49" s="1180" t="s">
        <v>1687</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1688</v>
      </c>
      <c r="AZ49" s="1185" t="s">
        <v>1412</v>
      </c>
      <c r="BE49" s="1185">
        <v>2047</v>
      </c>
      <c r="BH49" s="1133" t="s">
        <v>1068</v>
      </c>
      <c r="BJ49" s="1282" t="s">
        <v>1054</v>
      </c>
      <c r="BL49" s="1282" t="s">
        <v>1054</v>
      </c>
    </row>
    <row customHeight="1" ht="11.25">
      <c r="A50" s="1139" t="s">
        <v>1689</v>
      </c>
      <c r="E50" s="472" t="s">
        <v>1690</v>
      </c>
      <c r="F50" s="1180" t="s">
        <v>1038</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1691</v>
      </c>
      <c r="AZ50" s="1185" t="s">
        <v>1428</v>
      </c>
      <c r="BE50" s="1185">
        <v>2048</v>
      </c>
      <c r="BH50" s="1133" t="s">
        <v>1661</v>
      </c>
      <c r="BJ50" s="1282" t="s">
        <v>1056</v>
      </c>
      <c r="BL50" s="1282" t="s">
        <v>1056</v>
      </c>
    </row>
    <row customHeight="1" ht="11.25">
      <c r="A51" s="1139" t="s">
        <v>1692</v>
      </c>
      <c r="E51" s="472" t="s">
        <v>1693</v>
      </c>
      <c r="F51" s="1180" t="s">
        <v>1694</v>
      </c>
      <c r="G51" s="1181" t="str">
        <f>_xlfn.IFERROR(IF(TITLE_PERIOD_START="","01.01."&amp;CURRENT_YEAR,"01.01."&amp;YEAR(TITLE_PERIOD_START)),"01.01."&amp;CURRENT_YEAR)</f>
        <v>01.01.2024</v>
      </c>
      <c r="H51" s="1181" t="str">
        <f>_xlfn.IFERROR(IF(TITLE_PERIOD_END="","31.12."&amp;CURRENT_YEAR,"31.12."&amp;YEAR(TITLE_PERIOD_END)),"31.12."&amp;CURRENT_YEAR)</f>
        <v>31.12.2028</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1695</v>
      </c>
      <c r="AZ51" s="1185" t="s">
        <v>1444</v>
      </c>
      <c r="BE51" s="1185">
        <v>2049</v>
      </c>
      <c r="BH51" s="1133" t="s">
        <v>1670</v>
      </c>
      <c r="BJ51" s="1282" t="s">
        <v>1696</v>
      </c>
      <c r="BL51" s="1282" t="s">
        <v>1696</v>
      </c>
    </row>
    <row customHeight="1" ht="11.25">
      <c r="A52" s="1139" t="s">
        <v>1697</v>
      </c>
      <c r="E52" s="472" t="s">
        <v>1698</v>
      </c>
      <c r="F52" s="1180" t="s">
        <v>1664</v>
      </c>
      <c r="G52" s="1181" t="str">
        <f>_xlfn.IFERROR(IF(TITLE_PERIOD_START="","01.01."&amp;CURRENT_YEAR,"01.01."&amp;YEAR(TITLE_PERIOD_START)),"01.01."&amp;CURRENT_YEAR)</f>
        <v>01.01.2024</v>
      </c>
      <c r="H52" s="1181" t="str">
        <f>_xlfn.IFERROR(IF(TITLE_PERIOD_END="","31.12."&amp;CURRENT_YEAR,"31.12."&amp;YEAR(TITLE_PERIOD_END)),"31.12."&amp;CURRENT_YEAR)</f>
        <v>31.12.2028</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1699</v>
      </c>
      <c r="AZ52" s="1185" t="s">
        <v>1245</v>
      </c>
      <c r="BE52" s="1185">
        <v>2050</v>
      </c>
      <c r="BH52" s="1133" t="s">
        <v>1674</v>
      </c>
      <c r="BJ52" s="1282" t="s">
        <v>1067</v>
      </c>
      <c r="BL52" s="1282" t="s">
        <v>1067</v>
      </c>
    </row>
    <row customHeight="1" ht="11.25">
      <c r="A53" s="1139" t="s">
        <v>1700</v>
      </c>
      <c r="E53" s="472" t="s">
        <v>1701</v>
      </c>
      <c r="F53" s="1180" t="s">
        <v>1701</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1702</v>
      </c>
      <c r="K53" s="1811"/>
      <c r="AX53" s="1185" t="s">
        <v>1703</v>
      </c>
      <c r="BE53" s="1185">
        <v>2051</v>
      </c>
      <c r="BH53" s="1133" t="s">
        <v>1678</v>
      </c>
      <c r="BJ53" s="1282" t="s">
        <v>1650</v>
      </c>
      <c r="BL53" s="1282" t="s">
        <v>1650</v>
      </c>
    </row>
    <row customHeight="1" ht="11.25">
      <c r="A54" s="1139" t="s">
        <v>1704</v>
      </c>
      <c r="AX54" s="1185" t="s">
        <v>1705</v>
      </c>
      <c r="AZ54" s="1132" t="s">
        <v>1706</v>
      </c>
      <c r="BE54" s="1185">
        <v>2052</v>
      </c>
      <c r="BH54" s="1133" t="s">
        <v>1684</v>
      </c>
      <c r="BJ54" s="1282" t="s">
        <v>1654</v>
      </c>
      <c r="BL54" s="1282" t="s">
        <v>1654</v>
      </c>
    </row>
    <row customHeight="1" ht="11.25">
      <c r="A55" s="1139" t="s">
        <v>1707</v>
      </c>
      <c r="AX55" s="1185" t="s">
        <v>1708</v>
      </c>
      <c r="AZ55" s="1185" t="s">
        <v>1247</v>
      </c>
      <c r="BE55" s="1185">
        <v>2053</v>
      </c>
      <c r="BH55" s="1135" t="s">
        <v>28</v>
      </c>
      <c r="BJ55" s="1282" t="s">
        <v>1068</v>
      </c>
      <c r="BL55" s="1282" t="s">
        <v>1068</v>
      </c>
    </row>
    <row customHeight="1" ht="11.25">
      <c r="A56" s="1139" t="s">
        <v>1709</v>
      </c>
      <c r="D56" s="1183" t="s">
        <v>1710</v>
      </c>
      <c r="E56" s="1160" t="s">
        <v>114</v>
      </c>
      <c r="F56" s="1139" t="s">
        <v>1711</v>
      </c>
      <c r="AX56" s="1185" t="s">
        <v>1712</v>
      </c>
      <c r="AZ56" s="1185" t="s">
        <v>1272</v>
      </c>
      <c r="BE56" s="1185">
        <v>2054</v>
      </c>
      <c r="BH56" s="1135" t="s">
        <v>28</v>
      </c>
      <c r="BJ56" s="1282" t="s">
        <v>1661</v>
      </c>
      <c r="BL56" s="1282" t="s">
        <v>1661</v>
      </c>
    </row>
    <row customHeight="1" ht="11.25">
      <c r="A57" s="1139" t="s">
        <v>1713</v>
      </c>
      <c r="D57" s="1183" t="s">
        <v>1714</v>
      </c>
      <c r="E57" s="1160" t="s">
        <v>114</v>
      </c>
      <c r="F57" s="1139" t="s">
        <v>1711</v>
      </c>
      <c r="AX57" s="1185" t="s">
        <v>1715</v>
      </c>
      <c r="AZ57" s="1185" t="s">
        <v>1307</v>
      </c>
      <c r="BE57" s="1185">
        <v>2055</v>
      </c>
      <c r="BJ57" s="1282" t="s">
        <v>1670</v>
      </c>
      <c r="BL57" s="1282" t="s">
        <v>1670</v>
      </c>
    </row>
    <row customHeight="1" ht="11.25">
      <c r="A58" s="1139" t="s">
        <v>1716</v>
      </c>
      <c r="D58" s="1183" t="s">
        <v>1717</v>
      </c>
      <c r="E58" s="1160" t="s">
        <v>114</v>
      </c>
      <c r="F58" s="1139" t="s">
        <v>1711</v>
      </c>
      <c r="AX58" s="1185" t="s">
        <v>1718</v>
      </c>
      <c r="BE58" s="1185">
        <v>2056</v>
      </c>
      <c r="BJ58" s="1282" t="s">
        <v>1674</v>
      </c>
      <c r="BL58" s="1282" t="s">
        <v>1674</v>
      </c>
    </row>
    <row customHeight="1" ht="11.25">
      <c r="A59" s="1139" t="s">
        <v>1719</v>
      </c>
      <c r="D59" s="1183" t="s">
        <v>134</v>
      </c>
      <c r="E59" s="1160" t="s">
        <v>1606</v>
      </c>
      <c r="F59" s="1139" t="s">
        <v>1720</v>
      </c>
      <c r="AX59" s="1185" t="s">
        <v>1721</v>
      </c>
      <c r="AZ59" s="1132" t="s">
        <v>1722</v>
      </c>
      <c r="BE59" s="1185">
        <v>2057</v>
      </c>
      <c r="BJ59" s="1282" t="s">
        <v>1678</v>
      </c>
      <c r="BL59" s="1282" t="s">
        <v>1678</v>
      </c>
    </row>
    <row customHeight="1" ht="11.25">
      <c r="A60" s="1139" t="s">
        <v>1723</v>
      </c>
      <c r="D60" s="1183" t="s">
        <v>1724</v>
      </c>
      <c r="E60" s="1160" t="s">
        <v>1606</v>
      </c>
      <c r="F60" s="1139" t="s">
        <v>1720</v>
      </c>
      <c r="AX60" s="1185" t="s">
        <v>1725</v>
      </c>
      <c r="AZ60" s="1185" t="s">
        <v>1248</v>
      </c>
      <c r="BE60" s="1185">
        <v>2058</v>
      </c>
      <c r="BJ60" s="1282" t="s">
        <v>1684</v>
      </c>
      <c r="BL60" s="1282" t="s">
        <v>1684</v>
      </c>
    </row>
    <row customHeight="1" ht="11.25">
      <c r="A61" s="1139" t="s">
        <v>1726</v>
      </c>
      <c r="D61" s="1183" t="s">
        <v>1727</v>
      </c>
      <c r="E61" s="1160" t="s">
        <v>1728</v>
      </c>
      <c r="F61" s="1139" t="s">
        <v>1720</v>
      </c>
      <c r="AX61" s="1185" t="s">
        <v>1729</v>
      </c>
      <c r="AZ61" s="1185" t="s">
        <v>1273</v>
      </c>
      <c r="BE61" s="1185">
        <v>2059</v>
      </c>
      <c r="BL61" s="1282" t="s">
        <v>1060</v>
      </c>
    </row>
    <row customHeight="1" ht="11.25">
      <c r="A62" s="1139" t="s">
        <v>1730</v>
      </c>
      <c r="D62" s="1183" t="s">
        <v>133</v>
      </c>
      <c r="E62" s="1160">
        <v>31</v>
      </c>
      <c r="F62" s="1139" t="s">
        <v>1720</v>
      </c>
      <c r="AZ62" s="1185" t="s">
        <v>1308</v>
      </c>
      <c r="BE62" s="1185">
        <v>2060</v>
      </c>
      <c r="BL62" s="1282" t="s">
        <v>1062</v>
      </c>
    </row>
    <row customHeight="1" ht="11.25">
      <c r="A63" s="1139" t="s">
        <v>1731</v>
      </c>
      <c r="D63" s="1183" t="s">
        <v>1732</v>
      </c>
      <c r="E63" s="1160">
        <v>31</v>
      </c>
      <c r="F63" s="1139" t="s">
        <v>1720</v>
      </c>
      <c r="AZ63" s="1185" t="s">
        <v>1338</v>
      </c>
      <c r="BE63" s="1185">
        <v>2061</v>
      </c>
    </row>
    <row customHeight="1" ht="11.25">
      <c r="A64" s="1139" t="s">
        <v>1733</v>
      </c>
      <c r="D64" s="1183" t="s">
        <v>1734</v>
      </c>
      <c r="E64" s="1160">
        <v>31</v>
      </c>
      <c r="F64" s="1139" t="s">
        <v>1720</v>
      </c>
      <c r="AZ64" s="1185" t="s">
        <v>1361</v>
      </c>
      <c r="BE64" s="1185">
        <v>2062</v>
      </c>
    </row>
    <row customHeight="1" ht="11.25">
      <c r="A65" s="1139" t="s">
        <v>1735</v>
      </c>
      <c r="D65" s="1139"/>
      <c r="BE65" s="1185">
        <v>2063</v>
      </c>
    </row>
    <row customHeight="1" ht="11.25">
      <c r="A66" s="1139" t="s">
        <v>1736</v>
      </c>
      <c r="AZ66" s="1132" t="s">
        <v>1737</v>
      </c>
      <c r="BE66" s="1185">
        <v>2064</v>
      </c>
    </row>
    <row customHeight="1" ht="11.25">
      <c r="A67" s="1139" t="s">
        <v>1738</v>
      </c>
      <c r="AZ67" s="1185" t="s">
        <v>1249</v>
      </c>
      <c r="BE67" s="1185">
        <v>2065</v>
      </c>
    </row>
    <row customHeight="1" ht="11.25">
      <c r="A68" s="1139" t="s">
        <v>1739</v>
      </c>
      <c r="AZ68" s="1185" t="s">
        <v>1274</v>
      </c>
      <c r="BE68" s="1185">
        <v>2066</v>
      </c>
      <c r="BH68" s="1132" t="s">
        <v>1740</v>
      </c>
      <c r="BJ68" s="1132" t="s">
        <v>1741</v>
      </c>
      <c r="BL68" s="1132" t="s">
        <v>1742</v>
      </c>
      <c r="BN68" s="1132" t="s">
        <v>1743</v>
      </c>
    </row>
    <row customHeight="1" ht="11.25">
      <c r="A69" s="1139" t="s">
        <v>1744</v>
      </c>
      <c r="AZ69" s="1185" t="s">
        <v>1309</v>
      </c>
      <c r="BE69" s="1185">
        <v>2067</v>
      </c>
      <c r="BH69" s="1133" t="s">
        <v>1745</v>
      </c>
      <c r="BI69" s="1182" t="s">
        <v>112</v>
      </c>
      <c r="BJ69" s="1133" t="s">
        <v>1746</v>
      </c>
      <c r="BK69" s="1182" t="s">
        <v>112</v>
      </c>
      <c r="BL69" s="1133" t="s">
        <v>1747</v>
      </c>
      <c r="BM69" s="1135" t="s">
        <v>112</v>
      </c>
      <c r="BN69" s="1133" t="s">
        <v>1748</v>
      </c>
    </row>
    <row customHeight="1" ht="11.25">
      <c r="A70" s="1139" t="s">
        <v>1749</v>
      </c>
      <c r="AZ70" s="1185" t="s">
        <v>1339</v>
      </c>
      <c r="BE70" s="1185">
        <v>2068</v>
      </c>
      <c r="BH70" s="1133" t="s">
        <v>1750</v>
      </c>
      <c r="BJ70" s="1133" t="s">
        <v>1751</v>
      </c>
      <c r="BL70" s="1133" t="s">
        <v>1752</v>
      </c>
      <c r="BN70" s="1133" t="s">
        <v>1753</v>
      </c>
    </row>
    <row customHeight="1" ht="11.25">
      <c r="A71" s="1139" t="s">
        <v>1754</v>
      </c>
      <c r="AZ71" s="1185" t="s">
        <v>1341</v>
      </c>
      <c r="BE71" s="1185">
        <v>2069</v>
      </c>
      <c r="BH71" s="1133" t="s">
        <v>1755</v>
      </c>
      <c r="BI71" s="1182" t="s">
        <v>93</v>
      </c>
      <c r="BJ71" s="1133" t="s">
        <v>1756</v>
      </c>
      <c r="BK71" s="1182" t="s">
        <v>93</v>
      </c>
      <c r="BL71" s="1133" t="s">
        <v>1757</v>
      </c>
      <c r="BM71" s="1135" t="s">
        <v>93</v>
      </c>
      <c r="BN71" s="1133" t="s">
        <v>1758</v>
      </c>
    </row>
    <row customHeight="1" ht="11.25">
      <c r="A72" s="1139" t="s">
        <v>1759</v>
      </c>
      <c r="AZ72" s="1185" t="s">
        <v>19</v>
      </c>
      <c r="BE72" s="1185">
        <v>2070</v>
      </c>
      <c r="BH72" s="1133" t="s">
        <v>1760</v>
      </c>
      <c r="BJ72" s="1133" t="s">
        <v>1760</v>
      </c>
      <c r="BL72" s="1133" t="s">
        <v>1760</v>
      </c>
      <c r="BN72" s="1133" t="s">
        <v>1761</v>
      </c>
    </row>
    <row customHeight="1" ht="11.25">
      <c r="A73" s="1139" t="s">
        <v>1762</v>
      </c>
      <c r="BH73" s="1133" t="s">
        <v>1763</v>
      </c>
      <c r="BI73" s="1182" t="s">
        <v>114</v>
      </c>
      <c r="BJ73" s="1133" t="s">
        <v>1764</v>
      </c>
      <c r="BK73" s="1182" t="s">
        <v>114</v>
      </c>
      <c r="BL73" s="1133" t="s">
        <v>1765</v>
      </c>
      <c r="BM73" s="1135" t="s">
        <v>114</v>
      </c>
      <c r="BN73" s="1133" t="s">
        <v>1766</v>
      </c>
    </row>
    <row customHeight="1" ht="11.25">
      <c r="A74" s="1139" t="s">
        <v>1767</v>
      </c>
      <c r="BH74" s="1133" t="s">
        <v>1768</v>
      </c>
      <c r="BJ74" s="1133" t="s">
        <v>1769</v>
      </c>
      <c r="BL74" s="1133" t="s">
        <v>1770</v>
      </c>
      <c r="BN74" s="1133" t="s">
        <v>1771</v>
      </c>
    </row>
    <row customHeight="1" ht="11.25">
      <c r="A75" s="1139" t="s">
        <v>16</v>
      </c>
      <c r="AZ75" s="1132" t="s">
        <v>1772</v>
      </c>
      <c r="BH75" s="1133" t="s">
        <v>1773</v>
      </c>
      <c r="BJ75" s="1133" t="s">
        <v>1773</v>
      </c>
      <c r="BL75" s="1133" t="s">
        <v>1773</v>
      </c>
    </row>
    <row customHeight="1" ht="11.25">
      <c r="A76" s="1139" t="s">
        <v>1774</v>
      </c>
      <c r="AZ76" s="1185" t="s">
        <v>1258</v>
      </c>
      <c r="BH76" s="1133" t="s">
        <v>1775</v>
      </c>
      <c r="BJ76" s="1133" t="s">
        <v>1776</v>
      </c>
      <c r="BL76" s="1133" t="s">
        <v>1777</v>
      </c>
    </row>
    <row customHeight="1" ht="11.25">
      <c r="A77" s="1139" t="s">
        <v>1778</v>
      </c>
      <c r="AZ77" s="1185" t="s">
        <v>1284</v>
      </c>
    </row>
    <row customHeight="1" ht="11.25">
      <c r="A78" s="1139" t="s">
        <v>1779</v>
      </c>
      <c r="AZ78" s="1185" t="s">
        <v>1316</v>
      </c>
    </row>
    <row customHeight="1" ht="11.25">
      <c r="A79" s="1139" t="s">
        <v>1780</v>
      </c>
      <c r="AZ79" s="1185" t="s">
        <v>1345</v>
      </c>
      <c r="BH79" s="1132" t="s">
        <v>1781</v>
      </c>
      <c r="BJ79" s="1132" t="s">
        <v>1782</v>
      </c>
      <c r="BL79" s="1132" t="s">
        <v>1783</v>
      </c>
    </row>
    <row customHeight="1" ht="11.25">
      <c r="A80" s="1139" t="s">
        <v>1784</v>
      </c>
      <c r="AZ80" s="1185" t="s">
        <v>1366</v>
      </c>
      <c r="BH80" s="1133" t="s">
        <v>1785</v>
      </c>
      <c r="BJ80" s="1133" t="s">
        <v>1786</v>
      </c>
      <c r="BL80" s="1133" t="s">
        <v>1787</v>
      </c>
    </row>
    <row customHeight="1" ht="11.25">
      <c r="A81" s="1139" t="s">
        <v>1788</v>
      </c>
      <c r="AZ81" s="1185" t="s">
        <v>1383</v>
      </c>
      <c r="BH81" s="1133" t="s">
        <v>1789</v>
      </c>
      <c r="BJ81" s="1133" t="s">
        <v>1790</v>
      </c>
      <c r="BL81" s="1133" t="s">
        <v>1791</v>
      </c>
    </row>
    <row customHeight="1" ht="11.25">
      <c r="A82" s="1139" t="s">
        <v>1792</v>
      </c>
      <c r="AZ82" s="1185" t="s">
        <v>1398</v>
      </c>
      <c r="BH82" s="1133" t="s">
        <v>1793</v>
      </c>
      <c r="BJ82" s="1133" t="s">
        <v>1794</v>
      </c>
      <c r="BL82" s="1133" t="s">
        <v>1795</v>
      </c>
    </row>
    <row customHeight="1" ht="11.25">
      <c r="A83" s="1139" t="s">
        <v>1796</v>
      </c>
      <c r="BH83" s="1133" t="s">
        <v>1797</v>
      </c>
      <c r="BJ83" s="1133" t="s">
        <v>1798</v>
      </c>
      <c r="BL83" s="1133" t="s">
        <v>1799</v>
      </c>
    </row>
    <row customHeight="1" ht="11.25">
      <c r="A84" s="1139" t="s">
        <v>1800</v>
      </c>
      <c r="AZ84" s="1132" t="s">
        <v>1801</v>
      </c>
    </row>
    <row customHeight="1" ht="11.25">
      <c r="A85" s="1935" t="s">
        <v>1802</v>
      </c>
      <c r="AZ85" s="1185" t="s">
        <v>1803</v>
      </c>
    </row>
    <row customHeight="1" ht="11.25">
      <c r="A86" s="1139" t="s">
        <v>1804</v>
      </c>
      <c r="AZ86" s="1185" t="s">
        <v>1805</v>
      </c>
      <c r="BH86" s="1132" t="s">
        <v>1806</v>
      </c>
      <c r="BJ86" s="1132" t="s">
        <v>1807</v>
      </c>
      <c r="BL86" s="1132" t="s">
        <v>1808</v>
      </c>
    </row>
    <row customHeight="1" ht="11.25">
      <c r="A87" s="1139" t="s">
        <v>1809</v>
      </c>
      <c r="AZ87" s="1185" t="s">
        <v>1810</v>
      </c>
      <c r="BH87" s="1133" t="s">
        <v>1811</v>
      </c>
      <c r="BJ87" s="1133" t="s">
        <v>1812</v>
      </c>
      <c r="BL87" s="1133" t="s">
        <v>1813</v>
      </c>
    </row>
    <row customHeight="1" ht="11.25">
      <c r="A88" s="1139" t="s">
        <v>1814</v>
      </c>
      <c r="AZ88" s="1671"/>
      <c r="BH88" s="1133" t="s">
        <v>1815</v>
      </c>
      <c r="BJ88" s="1133" t="s">
        <v>1816</v>
      </c>
      <c r="BL88" s="1133" t="s">
        <v>1817</v>
      </c>
    </row>
    <row customHeight="1" ht="11.25">
      <c r="A89" s="1139" t="s">
        <v>1818</v>
      </c>
      <c r="AZ89" s="1132" t="s">
        <v>1819</v>
      </c>
    </row>
    <row customHeight="1" ht="11.25">
      <c r="A90" s="1139" t="s">
        <v>1820</v>
      </c>
      <c r="AZ90" s="1185" t="s">
        <v>1038</v>
      </c>
    </row>
    <row customHeight="1" ht="11.25">
      <c r="A91" s="1139" t="s">
        <v>1821</v>
      </c>
      <c r="AZ91" s="1185" t="s">
        <v>1074</v>
      </c>
      <c r="BH91" s="1132" t="s">
        <v>1822</v>
      </c>
      <c r="BJ91" s="1132" t="s">
        <v>1823</v>
      </c>
      <c r="BL91" s="1132" t="s">
        <v>1824</v>
      </c>
    </row>
    <row customHeight="1" ht="11.25">
      <c r="AZ92" s="1185" t="s">
        <v>1825</v>
      </c>
      <c r="BH92" s="1133" t="s">
        <v>1826</v>
      </c>
      <c r="BJ92" s="1133" t="s">
        <v>1827</v>
      </c>
      <c r="BL92" s="1133" t="s">
        <v>1828</v>
      </c>
    </row>
    <row customHeight="1" ht="11.25">
      <c r="AZ93" s="1185" t="s">
        <v>1829</v>
      </c>
      <c r="BH93" s="1133" t="s">
        <v>1830</v>
      </c>
      <c r="BJ93" s="1133" t="s">
        <v>1831</v>
      </c>
      <c r="BL93" s="1133" t="s">
        <v>1832</v>
      </c>
    </row>
    <row customHeight="1" ht="11.25">
      <c r="AZ94" s="1185" t="s">
        <v>1833</v>
      </c>
    </row>
    <row r="96" customHeight="1" ht="11.25">
      <c r="AZ96" s="1132" t="s">
        <v>1834</v>
      </c>
      <c r="BH96" s="1132" t="s">
        <v>1835</v>
      </c>
      <c r="BJ96" s="1132" t="s">
        <v>1836</v>
      </c>
      <c r="BL96" s="1132" t="s">
        <v>1837</v>
      </c>
      <c r="BN96" s="1132" t="s">
        <v>1838</v>
      </c>
    </row>
    <row customHeight="1" ht="11.25">
      <c r="AZ97" s="1966" t="s">
        <v>1839</v>
      </c>
      <c r="BA97" s="1967" t="s">
        <v>1840</v>
      </c>
      <c r="BH97" s="1133" t="s">
        <v>1841</v>
      </c>
      <c r="BJ97" s="1133" t="s">
        <v>1842</v>
      </c>
      <c r="BL97" s="1133" t="s">
        <v>1843</v>
      </c>
      <c r="BN97" s="1133" t="s">
        <v>1844</v>
      </c>
    </row>
    <row customHeight="1" ht="11.25">
      <c r="AZ98" s="1966" t="s">
        <v>1845</v>
      </c>
      <c r="BA98" s="1967" t="s">
        <v>1846</v>
      </c>
      <c r="BH98" s="1133" t="s">
        <v>1847</v>
      </c>
      <c r="BJ98" s="1133" t="s">
        <v>1848</v>
      </c>
      <c r="BL98" s="1133" t="s">
        <v>1849</v>
      </c>
      <c r="BN98" s="1133" t="s">
        <v>1850</v>
      </c>
    </row>
    <row customHeight="1" ht="22.5">
      <c r="AZ99" s="1966" t="s">
        <v>1851</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1852</v>
      </c>
      <c r="BJ99" s="1133" t="s">
        <v>1853</v>
      </c>
      <c r="BL99" s="1133" t="s">
        <v>1854</v>
      </c>
      <c r="BN99" s="1133" t="s">
        <v>1855</v>
      </c>
    </row>
    <row customHeight="1" ht="22.5">
      <c r="AZ100" s="1966" t="s">
        <v>1856</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1444</v>
      </c>
      <c r="BL100" s="1133" t="s">
        <v>1444</v>
      </c>
      <c r="BN100" s="1133" t="s">
        <v>1857</v>
      </c>
    </row>
    <row customHeight="1" ht="22.5">
      <c r="AZ101" s="1966" t="s">
        <v>1858</v>
      </c>
      <c r="BA101" s="1967" t="s">
        <v>1859</v>
      </c>
      <c r="BN101" s="1133" t="s">
        <v>1860</v>
      </c>
    </row>
    <row customHeight="1" ht="22.5">
      <c r="AZ102" s="1966" t="s">
        <v>1861</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1862</v>
      </c>
    </row>
    <row customHeight="1" ht="11.25">
      <c r="AZ103" s="1966" t="s">
        <v>1863</v>
      </c>
      <c r="BA103" s="1967" t="s">
        <v>1864</v>
      </c>
      <c r="BN103" s="1133" t="s">
        <v>1865</v>
      </c>
    </row>
    <row customHeight="1" ht="11.25">
      <c r="BN104" s="1133" t="s">
        <v>1866</v>
      </c>
    </row>
    <row customHeight="1" ht="11.25">
      <c r="AZ105" s="1757" t="s">
        <v>1867</v>
      </c>
    </row>
    <row customHeight="1" ht="11.25">
      <c r="AZ106" s="1185" t="s">
        <v>1868</v>
      </c>
    </row>
    <row customHeight="1" ht="11.25">
      <c r="AZ107" s="1185" t="s">
        <v>1869</v>
      </c>
      <c r="BH107" s="1132" t="s">
        <v>1870</v>
      </c>
      <c r="BJ107" s="1132" t="s">
        <v>1871</v>
      </c>
      <c r="BL107" s="1132" t="s">
        <v>1872</v>
      </c>
      <c r="BN107" s="1132" t="s">
        <v>1873</v>
      </c>
    </row>
    <row customHeight="1" ht="11.25">
      <c r="AZ108" s="1185" t="s">
        <v>591</v>
      </c>
      <c r="BH108" s="1133" t="s">
        <v>1874</v>
      </c>
      <c r="BJ108" s="1133" t="s">
        <v>1875</v>
      </c>
      <c r="BL108" s="1133" t="s">
        <v>1530</v>
      </c>
      <c r="BN108" s="1133" t="s">
        <v>1876</v>
      </c>
    </row>
    <row customHeight="1" ht="11.25">
      <c r="BH109" s="1133" t="s">
        <v>1877</v>
      </c>
    </row>
    <row customHeight="1" ht="11.25">
      <c r="AZ110" s="1757" t="s">
        <v>1878</v>
      </c>
      <c r="BH110" s="1133" t="s">
        <v>1877</v>
      </c>
    </row>
    <row customHeight="1" ht="11.25">
      <c r="AZ111" s="1966" t="s">
        <v>1839</v>
      </c>
      <c r="BA111" s="1967" t="s">
        <v>1840</v>
      </c>
    </row>
    <row customHeight="1" ht="11.25">
      <c r="AZ112" s="1966" t="s">
        <v>1845</v>
      </c>
      <c r="BA112" s="1967" t="s">
        <v>1846</v>
      </c>
    </row>
    <row customHeight="1" ht="22.5">
      <c r="AZ113" s="1966" t="s">
        <v>1851</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1856</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1879</v>
      </c>
    </row>
    <row customHeight="1" ht="22.5">
      <c r="AZ115" s="1966" t="s">
        <v>1861</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1245</v>
      </c>
    </row>
    <row customHeight="1" ht="11.25">
      <c r="AZ116" s="1966" t="s">
        <v>1863</v>
      </c>
      <c r="BA116" s="1967" t="s">
        <v>1864</v>
      </c>
      <c r="BH116" s="1133" t="s">
        <v>464</v>
      </c>
    </row>
    <row customHeight="1" ht="11.25">
      <c r="BH117" s="1133" t="s">
        <v>1305</v>
      </c>
    </row>
    <row customHeight="1" ht="11.25">
      <c r="BH118" s="1133" t="s">
        <v>468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5A8B4-10DF-773E-CD5F-8F10C289F51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433" width="15.00390625" hidden="1" customWidth="1"/>
    <col min="3" max="3" style="3431" width="3.00390625" customWidth="1"/>
    <col min="4" max="4" style="3512" width="6.00390625" customWidth="1"/>
    <col min="5" max="5" style="3431" width="52.00390625" customWidth="1"/>
    <col min="6" max="6" style="3431" width="48.00390625" customWidth="1"/>
    <col min="7" max="7" style="3431" width="93.00390625" customWidth="1"/>
    <col min="8" max="8" style="3431" width="8.00390625" customWidth="1"/>
    <col min="9" max="9" style="3431" width="64.00390625" customWidth="1"/>
    <col min="10" max="10" style="3431" width="9.140625" hidden="1"/>
  </cols>
  <sheetData>
    <row customHeight="1" ht="11.25" hidden="1">
      <c r="A1" s="566" t="s">
        <v>318</v>
      </c>
      <c r="J1" s="520" t="s">
        <v>14</v>
      </c>
    </row>
    <row customHeight="1" ht="22.5" hidden="1">
      <c r="A2" s="567"/>
      <c r="B2" s="567"/>
      <c r="C2" s="1795" t="s">
        <v>193</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Ставропольский край</v>
      </c>
      <c r="E6" s="2241"/>
      <c r="F6" s="2241"/>
      <c r="I6" s="780"/>
      <c r="J6" s="520">
        <v>17</v>
      </c>
    </row>
    <row s="3432"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319</v>
      </c>
      <c r="E9" s="2270"/>
      <c r="F9" s="2270"/>
      <c r="G9" s="2273" t="s">
        <v>320</v>
      </c>
      <c r="J9" s="520">
        <v>11</v>
      </c>
    </row>
    <row customHeight="1" ht="11.549999999999999">
      <c r="A10" s="567"/>
      <c r="B10" s="567"/>
      <c r="C10" s="522"/>
      <c r="D10" s="1539" t="s">
        <v>91</v>
      </c>
      <c r="E10" s="1541" t="s">
        <v>321</v>
      </c>
      <c r="F10" s="1541" t="s">
        <v>322</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Филиал ПАО "ОГК-2"-Ставропольская ГРЭС</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1880</v>
      </c>
      <c r="F13" s="1586" t="s">
        <v>325</v>
      </c>
      <c r="G13" s="539"/>
      <c r="H13" s="1598"/>
      <c r="J13" s="520">
        <v>19</v>
      </c>
    </row>
    <row customHeight="1" ht="19.95">
      <c r="A14" s="567"/>
      <c r="B14" s="567"/>
      <c r="C14" s="522"/>
      <c r="D14" s="1588" t="s">
        <v>728</v>
      </c>
      <c r="E14" s="1589" t="s">
        <v>1881</v>
      </c>
      <c r="F14" s="1591"/>
      <c r="G14" s="1590" t="s">
        <v>1882</v>
      </c>
      <c r="H14" s="1598"/>
      <c r="J14" s="520">
        <v>19</v>
      </c>
    </row>
    <row customHeight="1" ht="19.95">
      <c r="A15" s="567"/>
      <c r="B15" s="567"/>
      <c r="C15" s="522"/>
      <c r="D15" s="1588" t="s">
        <v>326</v>
      </c>
      <c r="E15" s="1589" t="s">
        <v>1883</v>
      </c>
      <c r="F15" s="1591"/>
      <c r="G15" s="1590" t="s">
        <v>1884</v>
      </c>
      <c r="H15" s="1598"/>
      <c r="J15" s="520">
        <v>19</v>
      </c>
    </row>
    <row customHeight="1" ht="24">
      <c r="A16" s="567"/>
      <c r="B16" s="567"/>
      <c r="C16" s="522"/>
      <c r="D16" s="1588" t="s">
        <v>329</v>
      </c>
      <c r="E16" s="1587" t="s">
        <v>1885</v>
      </c>
      <c r="F16" s="1596"/>
      <c r="G16" s="539" t="s">
        <v>1886</v>
      </c>
      <c r="H16" s="1598"/>
      <c r="J16" s="520">
        <v>23</v>
      </c>
    </row>
    <row customHeight="1" ht="48.29999999999999">
      <c r="A17" s="567"/>
      <c r="B17" s="567"/>
      <c r="C17" s="522"/>
      <c r="D17" s="1585">
        <v>3</v>
      </c>
      <c r="E17" s="1592" t="s">
        <v>1887</v>
      </c>
      <c r="F17" s="1591"/>
      <c r="G17" s="539" t="s">
        <v>1888</v>
      </c>
      <c r="H17" s="1598"/>
      <c r="J17" s="520">
        <v>46</v>
      </c>
    </row>
    <row customHeight="1" ht="48.29999999999999">
      <c r="A18" s="1540">
        <v>1</v>
      </c>
      <c r="B18" s="567"/>
      <c r="C18" s="1542"/>
      <c r="D18" s="1585" t="s">
        <v>94</v>
      </c>
      <c r="E18" s="1592" t="s">
        <v>1889</v>
      </c>
      <c r="F18" s="1591"/>
      <c r="G18" s="539" t="s">
        <v>1888</v>
      </c>
      <c r="H18" s="1598"/>
      <c r="I18" s="917"/>
      <c r="J18" s="520">
        <v>46</v>
      </c>
    </row>
    <row customHeight="1" ht="23.25">
      <c r="A19" s="567"/>
      <c r="B19" s="567"/>
      <c r="C19" s="522"/>
      <c r="D19" s="1585" t="s">
        <v>114</v>
      </c>
      <c r="E19" s="1592" t="s">
        <v>1890</v>
      </c>
      <c r="F19" s="1586" t="s">
        <v>325</v>
      </c>
      <c r="G19" s="2536" t="s">
        <v>1891</v>
      </c>
      <c r="H19" s="540"/>
      <c r="J19" s="520">
        <v>22</v>
      </c>
    </row>
    <row s="5115" customFormat="1" customHeight="1" ht="5.25" hidden="1">
      <c r="A20" s="567"/>
      <c r="B20" s="567"/>
      <c r="C20" s="1594"/>
      <c r="D20" s="1593" t="s">
        <v>1135</v>
      </c>
      <c r="E20" s="1079"/>
      <c r="F20" s="1078"/>
      <c r="G20" s="2537"/>
      <c r="J20" s="1595">
        <v>0</v>
      </c>
    </row>
    <row customHeight="1" ht="15.75">
      <c r="A21" s="567"/>
      <c r="B21" s="567"/>
      <c r="C21" s="522"/>
      <c r="D21" s="532"/>
      <c r="E21" s="480" t="s">
        <v>358</v>
      </c>
      <c r="F21" s="534"/>
      <c r="G21" s="2538"/>
      <c r="H21" s="1598"/>
      <c r="J21" s="520">
        <v>15</v>
      </c>
    </row>
    <row s="3433" customFormat="1" customHeight="1" ht="26.25">
      <c r="A22" s="567"/>
      <c r="B22" s="567"/>
      <c r="C22" s="567"/>
      <c r="D22" s="1585" t="s">
        <v>95</v>
      </c>
      <c r="E22" s="539" t="s">
        <v>1892</v>
      </c>
      <c r="F22" s="1591"/>
      <c r="G22" s="539" t="s">
        <v>1893</v>
      </c>
      <c r="H22" s="1597"/>
      <c r="J22" s="566">
        <v>25</v>
      </c>
    </row>
    <row s="3433" customFormat="1" customHeight="1" ht="19.95">
      <c r="A23" s="567"/>
      <c r="B23" s="567"/>
      <c r="C23" s="567"/>
      <c r="D23" s="1585" t="s">
        <v>96</v>
      </c>
      <c r="E23" s="1592" t="s">
        <v>1894</v>
      </c>
      <c r="F23" s="1596"/>
      <c r="G23" s="539" t="s">
        <v>1895</v>
      </c>
      <c r="H23" s="1597"/>
      <c r="J23" s="566">
        <v>19</v>
      </c>
    </row>
    <row s="3433" customFormat="1" customHeight="1" ht="144" hidden="1">
      <c r="A24" s="567"/>
      <c r="B24" s="567"/>
      <c r="C24" s="567"/>
      <c r="D24" s="1585" t="s">
        <v>115</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85</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68161-6C75-C1CE-DA6C-D425F5C6A04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921" width="9.140625" hidden="1"/>
    <col min="2" max="2" style="4903" width="9.140625" hidden="1"/>
    <col min="3" max="3" style="4921" width="3.7109375" hidden="1" customWidth="1"/>
    <col min="4" max="4" style="5252" width="3.00390625" customWidth="1"/>
    <col min="5" max="5" style="4921" width="6.00390625" customWidth="1"/>
    <col min="6" max="6" style="4921" width="46.00390625" customWidth="1"/>
    <col min="7" max="8" style="4921" width="16.00390625" customWidth="1"/>
    <col min="9" max="9" style="4921" width="35.00390625" customWidth="1"/>
    <col min="10" max="10" style="4921" width="89.00390625" customWidth="1"/>
    <col min="11" max="11" style="4866" width="3.00390625" customWidth="1"/>
    <col min="12" max="14" style="4866" width="8.00390625" customWidth="1"/>
    <col min="15" max="15" style="4866" width="25.00390625" customWidth="1"/>
    <col min="16" max="16" style="4866" width="14.00390625" customWidth="1"/>
    <col min="17" max="20" style="2881" width="8.00390625" customWidth="1"/>
    <col min="21" max="254" style="4921" width="8.00390625" customWidth="1"/>
    <col min="255" max="255" style="4921" width="9.140625" hidden="1"/>
  </cols>
  <sheetData>
    <row customHeight="1" ht="22.5" hidden="1">
      <c r="F1" s="1696" t="s">
        <v>1896</v>
      </c>
      <c r="G1" s="1696" t="s">
        <v>51</v>
      </c>
      <c r="H1" s="1696" t="s">
        <v>53</v>
      </c>
      <c r="IU1" s="1220" t="s">
        <v>14</v>
      </c>
    </row>
    <row s="5662" customFormat="1" customHeight="1" ht="22.5" hidden="1">
      <c r="A2" s="896"/>
      <c r="B2" s="1225">
        <v>1</v>
      </c>
      <c r="C2" s="1225"/>
      <c r="D2" s="1993" t="s">
        <v>193</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423" customFormat="1" customHeight="1" ht="4.2">
      <c r="A3" s="561"/>
      <c r="D3" s="559"/>
      <c r="F3" s="312" t="s">
        <v>86</v>
      </c>
      <c r="G3" s="559" t="s">
        <v>87</v>
      </c>
      <c r="H3" s="559"/>
      <c r="I3" s="559"/>
      <c r="J3" s="292" t="s">
        <v>88</v>
      </c>
      <c r="K3" s="312" t="s">
        <v>86</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580"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580"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580"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580" customFormat="1" customHeight="1" ht="14.699999999999998">
      <c r="A7" s="1220"/>
      <c r="B7" s="1225"/>
      <c r="C7" s="1220"/>
      <c r="D7" s="1560"/>
      <c r="E7" s="2166" t="s">
        <v>319</v>
      </c>
      <c r="F7" s="2167"/>
      <c r="G7" s="2167"/>
      <c r="H7" s="2167"/>
      <c r="I7" s="2167"/>
      <c r="J7" s="2539" t="s">
        <v>320</v>
      </c>
      <c r="K7" s="565"/>
      <c r="L7" s="565"/>
      <c r="M7" s="565"/>
      <c r="N7" s="565"/>
      <c r="O7" s="291"/>
      <c r="P7" s="565"/>
      <c r="Q7" s="290"/>
      <c r="R7" s="290"/>
      <c r="S7" s="290"/>
      <c r="T7" s="290"/>
      <c r="IU7" s="572">
        <v>14</v>
      </c>
    </row>
    <row s="3580" customFormat="1" customHeight="1" ht="21">
      <c r="A8" s="1220"/>
      <c r="B8" s="1225"/>
      <c r="C8" s="1220"/>
      <c r="D8" s="1560"/>
      <c r="E8" s="1613" t="s">
        <v>91</v>
      </c>
      <c r="F8" s="1605" t="s">
        <v>1896</v>
      </c>
      <c r="G8" s="1605" t="s">
        <v>51</v>
      </c>
      <c r="H8" s="1605" t="s">
        <v>53</v>
      </c>
      <c r="I8" s="1605" t="s">
        <v>1897</v>
      </c>
      <c r="J8" s="2540"/>
      <c r="K8" s="565"/>
      <c r="L8" s="565"/>
      <c r="M8" s="565"/>
      <c r="N8" s="565"/>
      <c r="O8" s="291"/>
      <c r="P8" s="565"/>
      <c r="Q8" s="290"/>
      <c r="R8" s="290"/>
      <c r="S8" s="290"/>
      <c r="T8" s="290"/>
      <c r="IU8" s="572">
        <v>20</v>
      </c>
    </row>
    <row s="5662"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662" customFormat="1" customHeight="1" ht="15.75">
      <c r="A10" s="1696"/>
      <c r="B10" s="1225"/>
      <c r="C10" s="477"/>
      <c r="D10" s="866"/>
      <c r="E10" s="1606"/>
      <c r="F10" s="1565" t="s">
        <v>1898</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580"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580"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580"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505" customFormat="1" customHeight="1" ht="10.5">
      <c r="B14" s="899"/>
      <c r="D14" s="247"/>
      <c r="K14" s="565"/>
      <c r="L14" s="565"/>
      <c r="M14" s="565"/>
      <c r="N14" s="565"/>
      <c r="O14" s="291"/>
      <c r="P14" s="565"/>
      <c r="Q14" s="290"/>
      <c r="R14" s="290"/>
      <c r="S14" s="290"/>
      <c r="T14" s="290"/>
      <c r="IU14" s="246">
        <v>10</v>
      </c>
    </row>
    <row s="3505"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85</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9EFC9-2779-CB63-BB16-5D174C50EB2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921" width="9.140625" hidden="1"/>
    <col min="2" max="2" style="4903" width="9.140625" hidden="1"/>
    <col min="3" max="3" style="4921" width="3.7109375" hidden="1" customWidth="1"/>
    <col min="4" max="4" style="5252" width="3.00390625" customWidth="1"/>
    <col min="5" max="5" style="4921" width="6.00390625" customWidth="1"/>
    <col min="6" max="6" style="4921" width="27.00390625" customWidth="1"/>
    <col min="7" max="7" style="4921" width="16.00390625" customWidth="1"/>
    <col min="8" max="8" style="4921" width="12.00390625" customWidth="1"/>
    <col min="9" max="9" style="4921" width="32.00390625" customWidth="1"/>
    <col min="10" max="11" style="4921" width="41.00390625" customWidth="1"/>
    <col min="12" max="12" style="4921" width="89.00390625" customWidth="1"/>
    <col min="13" max="13" style="4866" width="3.00390625" customWidth="1"/>
    <col min="14" max="16" style="4866" width="8.00390625" customWidth="1"/>
    <col min="17" max="17" style="4866" width="25.00390625" customWidth="1"/>
    <col min="18" max="18" style="4866" width="14.00390625" customWidth="1"/>
    <col min="19" max="22" style="2881" width="8.00390625" customWidth="1"/>
    <col min="23" max="256" style="4921" width="8.00390625" customWidth="1"/>
    <col min="257" max="257" style="4921" width="9.140625" hidden="1"/>
  </cols>
  <sheetData>
    <row customHeight="1" ht="22.5" hidden="1">
      <c r="IW1" s="1220" t="s">
        <v>14</v>
      </c>
    </row>
    <row s="5662" customFormat="1" customHeight="1" ht="22.5" hidden="1">
      <c r="A2" s="896"/>
      <c r="B2" s="1225">
        <v>1</v>
      </c>
      <c r="C2" s="1225"/>
      <c r="D2" s="1993" t="s">
        <v>193</v>
      </c>
      <c r="E2" s="1954"/>
      <c r="F2" s="1957" t="str">
        <f>IF(ROIV_INFO_NAME="","",ROIV_INFO_NAME)</f>
        <v>Филиал ПАО "ОГК-2"-Ставропольская ГРЭС</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423" customFormat="1" customHeight="1" ht="5.25" hidden="1">
      <c r="A3" s="561"/>
      <c r="D3" s="559"/>
      <c r="F3" s="312" t="s">
        <v>86</v>
      </c>
      <c r="G3" s="1800" t="s">
        <v>87</v>
      </c>
      <c r="H3" s="559"/>
      <c r="I3" s="559"/>
      <c r="J3" s="559"/>
      <c r="K3" s="559"/>
      <c r="L3" s="292" t="s">
        <v>88</v>
      </c>
      <c r="M3" s="312" t="s">
        <v>86</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580"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580"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580"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580" customFormat="1" customHeight="1" ht="14.699999999999998">
      <c r="A7" s="1220"/>
      <c r="B7" s="1225"/>
      <c r="C7" s="1220"/>
      <c r="D7" s="1560"/>
      <c r="E7" s="2166" t="s">
        <v>319</v>
      </c>
      <c r="F7" s="2167"/>
      <c r="G7" s="2167"/>
      <c r="H7" s="2167"/>
      <c r="I7" s="2167"/>
      <c r="J7" s="2167"/>
      <c r="K7" s="2167"/>
      <c r="L7" s="2539" t="s">
        <v>320</v>
      </c>
      <c r="M7" s="565"/>
      <c r="N7" s="565"/>
      <c r="O7" s="565"/>
      <c r="P7" s="565"/>
      <c r="Q7" s="291"/>
      <c r="R7" s="565"/>
      <c r="S7" s="290"/>
      <c r="T7" s="290"/>
      <c r="U7" s="290"/>
      <c r="V7" s="290"/>
      <c r="IW7" s="572">
        <v>14</v>
      </c>
    </row>
    <row s="3580" customFormat="1" customHeight="1" ht="67.2">
      <c r="A8" s="1220"/>
      <c r="B8" s="1225"/>
      <c r="C8" s="1220"/>
      <c r="D8" s="1560"/>
      <c r="E8" s="2543" t="s">
        <v>91</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580" customFormat="1" customHeight="1" ht="29.25">
      <c r="A9" s="1220"/>
      <c r="B9" s="1225"/>
      <c r="C9" s="1220"/>
      <c r="D9" s="1560"/>
      <c r="E9" s="2544"/>
      <c r="F9" s="2544"/>
      <c r="G9" s="1602" t="s">
        <v>1899</v>
      </c>
      <c r="H9" s="1602" t="s">
        <v>1900</v>
      </c>
      <c r="I9" s="1602" t="s">
        <v>1901</v>
      </c>
      <c r="J9" s="2544"/>
      <c r="K9" s="2544"/>
      <c r="L9" s="2540"/>
      <c r="M9" s="565"/>
      <c r="N9" s="565"/>
      <c r="O9" s="565"/>
      <c r="P9" s="565"/>
      <c r="Q9" s="291"/>
      <c r="R9" s="565"/>
      <c r="S9" s="290"/>
      <c r="T9" s="290"/>
      <c r="U9" s="290"/>
      <c r="V9" s="290"/>
      <c r="IW9" s="572">
        <v>28</v>
      </c>
    </row>
    <row s="5662" customFormat="1" customHeight="1" ht="23.25">
      <c r="A10" s="2164"/>
      <c r="B10" s="1225">
        <v>1</v>
      </c>
      <c r="C10" s="1225"/>
      <c r="D10" s="865"/>
      <c r="E10" s="863">
        <v>1</v>
      </c>
      <c r="F10" s="1604" t="str">
        <f>IF(ROIV_INFO_NAME="","",ROIV_INFO_NAME)</f>
        <v>Филиал ПАО "ОГК-2"-Ставропольская ГРЭС</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662" customFormat="1" customHeight="1" ht="15.75">
      <c r="A11" s="2164"/>
      <c r="B11" s="1225"/>
      <c r="C11" s="477"/>
      <c r="D11" s="866"/>
      <c r="E11" s="486"/>
      <c r="F11" s="481" t="s">
        <v>1902</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580"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580"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580"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85</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911A9-2976-F305-EAF4-A485315AB8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921" width="9.140625" hidden="1"/>
    <col min="2" max="2" style="4903" width="9.140625" hidden="1"/>
    <col min="3" max="3" style="4921" width="3.7109375" hidden="1" customWidth="1"/>
    <col min="4" max="4" style="5252" width="3.00390625" customWidth="1"/>
    <col min="5" max="5" style="4921" width="6.00390625" customWidth="1"/>
    <col min="6" max="6" style="4921" width="27.00390625" customWidth="1"/>
    <col min="7" max="7" style="4921" width="16.00390625" customWidth="1"/>
    <col min="8" max="8" style="4921" width="12.00390625" customWidth="1"/>
    <col min="9" max="9" style="4921" width="32.00390625" customWidth="1"/>
    <col min="10" max="11" style="4921" width="41.00390625" customWidth="1"/>
    <col min="12" max="12" style="4921" width="89.00390625" customWidth="1"/>
    <col min="13" max="13" style="4866" width="3.00390625" customWidth="1"/>
    <col min="14" max="16" style="4866" width="8.00390625" customWidth="1"/>
    <col min="17" max="17" style="4866" width="25.00390625" customWidth="1"/>
    <col min="18" max="18" style="4866" width="14.00390625" customWidth="1"/>
    <col min="19" max="22" style="2881" width="8.00390625" customWidth="1"/>
    <col min="23" max="256" style="4921" width="8.00390625" customWidth="1"/>
    <col min="257" max="257" style="4921" width="9.140625" hidden="1"/>
  </cols>
  <sheetData>
    <row customHeight="1" ht="22.5" hidden="1">
      <c r="IW1" s="1696" t="s">
        <v>14</v>
      </c>
    </row>
    <row s="5662" customFormat="1" customHeight="1" ht="22.5" hidden="1">
      <c r="A2" s="896"/>
      <c r="B2" s="1431">
        <v>1</v>
      </c>
      <c r="C2" s="1431"/>
      <c r="D2" s="1993" t="s">
        <v>193</v>
      </c>
      <c r="E2" s="1969"/>
      <c r="F2" s="1971" t="str">
        <f>IF(ROIV_INFO_NAME="","",ROIV_INFO_NAME)</f>
        <v>Филиал ПАО "ОГК-2"-Ставропольская ГРЭС</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423" customFormat="1" customHeight="1" ht="5.25" hidden="1">
      <c r="A3" s="1706"/>
      <c r="D3" s="1958"/>
      <c r="F3" s="313" t="s">
        <v>86</v>
      </c>
      <c r="G3" s="1800" t="s">
        <v>87</v>
      </c>
      <c r="H3" s="1958"/>
      <c r="I3" s="1958"/>
      <c r="J3" s="1958"/>
      <c r="K3" s="1958"/>
      <c r="L3" s="292" t="s">
        <v>88</v>
      </c>
      <c r="M3" s="313" t="s">
        <v>86</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580"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580"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580"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580" customFormat="1" customHeight="1" ht="14.699999999999998">
      <c r="A7" s="1696"/>
      <c r="B7" s="1431"/>
      <c r="C7" s="1696"/>
      <c r="D7" s="1580"/>
      <c r="E7" s="2166" t="s">
        <v>319</v>
      </c>
      <c r="F7" s="2167"/>
      <c r="G7" s="2167"/>
      <c r="H7" s="2167"/>
      <c r="I7" s="2167"/>
      <c r="J7" s="2167"/>
      <c r="K7" s="2167"/>
      <c r="L7" s="2539" t="s">
        <v>320</v>
      </c>
      <c r="M7" s="1689"/>
      <c r="N7" s="1689"/>
      <c r="O7" s="1689"/>
      <c r="P7" s="1689"/>
      <c r="Q7" s="1689"/>
      <c r="R7" s="1689"/>
      <c r="S7" s="290"/>
      <c r="T7" s="290"/>
      <c r="U7" s="290"/>
      <c r="V7" s="290"/>
      <c r="IW7" s="1674">
        <v>14</v>
      </c>
    </row>
    <row s="3580" customFormat="1" customHeight="1" ht="67.2">
      <c r="A8" s="1696"/>
      <c r="B8" s="1431"/>
      <c r="C8" s="1696"/>
      <c r="D8" s="1580"/>
      <c r="E8" s="2543" t="s">
        <v>91</v>
      </c>
      <c r="F8" s="2543" t="s">
        <v>1903</v>
      </c>
      <c r="G8" s="2545" t="s">
        <v>1904</v>
      </c>
      <c r="H8" s="2546"/>
      <c r="I8" s="2547"/>
      <c r="J8" s="2543" t="s">
        <v>1905</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580" customFormat="1" customHeight="1" ht="29.25">
      <c r="A9" s="1696"/>
      <c r="B9" s="1431"/>
      <c r="C9" s="1696"/>
      <c r="D9" s="1580"/>
      <c r="E9" s="2544"/>
      <c r="F9" s="2544"/>
      <c r="G9" s="1959" t="s">
        <v>1899</v>
      </c>
      <c r="H9" s="1959" t="s">
        <v>1900</v>
      </c>
      <c r="I9" s="1959" t="s">
        <v>1901</v>
      </c>
      <c r="J9" s="2544"/>
      <c r="K9" s="2544"/>
      <c r="L9" s="2540"/>
      <c r="M9" s="1689"/>
      <c r="N9" s="1689"/>
      <c r="O9" s="1689"/>
      <c r="P9" s="1689"/>
      <c r="Q9" s="1689"/>
      <c r="R9" s="1689"/>
      <c r="S9" s="290"/>
      <c r="T9" s="290"/>
      <c r="U9" s="290"/>
      <c r="V9" s="290"/>
      <c r="IW9" s="1674">
        <v>28</v>
      </c>
    </row>
    <row s="5662" customFormat="1" customHeight="1" ht="1.05">
      <c r="A10" s="2164"/>
      <c r="B10" s="1431">
        <v>1</v>
      </c>
      <c r="C10" s="1431"/>
      <c r="D10" s="865"/>
      <c r="E10" s="860">
        <v>0</v>
      </c>
      <c r="F10" s="1956" t="str">
        <f>IF(ROIV_INFO_NAME="","",ROIV_INFO_NAME)</f>
        <v>Филиал ПАО "ОГК-2"-Ставропольская ГРЭС</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662" customFormat="1" customHeight="1" ht="15.75">
      <c r="A11" s="2164"/>
      <c r="B11" s="1431"/>
      <c r="C11" s="477"/>
      <c r="D11" s="866"/>
      <c r="E11" s="486"/>
      <c r="F11" s="716" t="s">
        <v>1902</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580"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580"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580"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85</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6B417-3B6D-694D-AAED-DA181009819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921" width="9.140625" hidden="1"/>
    <col min="2" max="2" style="4903" width="9.140625" hidden="1"/>
    <col min="3" max="3" style="4921" width="3.7109375" hidden="1" customWidth="1"/>
    <col min="4" max="4" style="5252" width="3.00390625" customWidth="1"/>
    <col min="5" max="5" style="4921" width="6.00390625" customWidth="1"/>
    <col min="6" max="6" style="4921" width="27.00390625" customWidth="1"/>
    <col min="7" max="7" style="4921" width="29.00390625" customWidth="1"/>
    <col min="8" max="8" style="4921" width="25.00390625" customWidth="1"/>
    <col min="9" max="9" style="4921" width="5.00390625" customWidth="1"/>
    <col min="10" max="10" style="4921" width="6.00390625" customWidth="1"/>
    <col min="11" max="11" style="4921" width="41.00390625" customWidth="1"/>
    <col min="12" max="12" style="4921" width="42.00390625" customWidth="1"/>
    <col min="13" max="13" style="4921" width="41.00390625" customWidth="1"/>
    <col min="14" max="14" style="4921" width="89.00390625" customWidth="1"/>
    <col min="15" max="15" style="4866" width="3.00390625" customWidth="1"/>
    <col min="16" max="16" style="4866" width="8.00390625" customWidth="1"/>
    <col min="17" max="17" style="4921" width="9.140625" hidden="1"/>
  </cols>
  <sheetData>
    <row customHeight="1" ht="22.5" hidden="1">
      <c r="Q1" s="1220" t="s">
        <v>14</v>
      </c>
    </row>
    <row s="5662" customFormat="1" customHeight="1" ht="22.5" hidden="1">
      <c r="A2" s="561"/>
      <c r="B2" s="1225">
        <v>1</v>
      </c>
      <c r="C2" s="1225"/>
      <c r="D2" s="1993" t="s">
        <v>193</v>
      </c>
      <c r="E2" s="2192">
        <v>1</v>
      </c>
      <c r="F2" s="2368" t="str">
        <f>IF(region_name="","",region_name)</f>
        <v>Ставропольский край</v>
      </c>
      <c r="G2" s="2548"/>
      <c r="H2" s="2549"/>
      <c r="I2" s="539"/>
      <c r="J2" s="1975">
        <v>1</v>
      </c>
      <c r="K2" s="1977"/>
      <c r="L2" s="1977"/>
      <c r="M2" s="1977"/>
      <c r="N2" s="557"/>
      <c r="O2" s="1600"/>
      <c r="P2" s="576"/>
      <c r="Q2" s="488">
        <v>0</v>
      </c>
    </row>
    <row s="5662" customFormat="1" customHeight="1" ht="22.5" hidden="1">
      <c r="A3" s="896"/>
      <c r="B3" s="1225"/>
      <c r="C3" s="1225"/>
      <c r="D3" s="866"/>
      <c r="E3" s="2192"/>
      <c r="F3" s="2368"/>
      <c r="G3" s="2548"/>
      <c r="H3" s="2550"/>
      <c r="I3" s="486"/>
      <c r="J3" s="1565"/>
      <c r="K3" s="1565" t="s">
        <v>1906</v>
      </c>
      <c r="L3" s="1608"/>
      <c r="M3" s="1985"/>
      <c r="N3" s="1978"/>
      <c r="O3" s="1600"/>
      <c r="P3" s="576"/>
      <c r="Q3" s="488">
        <v>0</v>
      </c>
    </row>
    <row s="4423" customFormat="1" customHeight="1" ht="5.25" hidden="1">
      <c r="A4" s="561"/>
      <c r="D4" s="559"/>
      <c r="F4" s="312" t="s">
        <v>86</v>
      </c>
      <c r="G4" s="559" t="s">
        <v>87</v>
      </c>
      <c r="H4" s="559"/>
      <c r="I4" s="1988"/>
      <c r="J4" s="1609"/>
      <c r="K4" s="1976"/>
      <c r="L4" s="1976"/>
      <c r="M4" s="1976"/>
      <c r="N4" s="1972"/>
      <c r="O4" s="312" t="s">
        <v>86</v>
      </c>
      <c r="P4" s="312"/>
      <c r="Q4" s="576">
        <v>0</v>
      </c>
    </row>
    <row s="5662" customFormat="1" customHeight="1" ht="22.5" hidden="1">
      <c r="A5" s="1706"/>
      <c r="B5" s="1431">
        <v>1</v>
      </c>
      <c r="C5" s="1431"/>
      <c r="D5" s="866"/>
      <c r="E5" s="1978"/>
      <c r="F5" s="1978"/>
      <c r="G5" s="1978"/>
      <c r="H5" s="1989"/>
      <c r="I5" s="1994" t="s">
        <v>193</v>
      </c>
      <c r="J5" s="1987">
        <v>1</v>
      </c>
      <c r="K5" s="1977"/>
      <c r="L5" s="1977"/>
      <c r="M5" s="1977"/>
      <c r="N5" s="557"/>
      <c r="O5" s="1600"/>
      <c r="P5" s="1701"/>
      <c r="Q5" s="689">
        <v>0</v>
      </c>
    </row>
    <row s="3580" customFormat="1" customHeight="1" ht="14.699999999999998">
      <c r="A6" s="1220"/>
      <c r="B6" s="1225"/>
      <c r="C6" s="1220"/>
      <c r="D6" s="1560"/>
      <c r="E6" s="574"/>
      <c r="F6" s="574"/>
      <c r="G6" s="574"/>
      <c r="H6" s="574"/>
      <c r="I6" s="574"/>
      <c r="J6" s="574"/>
      <c r="K6" s="574"/>
      <c r="L6" s="574"/>
      <c r="M6" s="574"/>
      <c r="N6" s="1700"/>
      <c r="O6" s="312"/>
      <c r="P6" s="565"/>
      <c r="Q6" s="572">
        <v>14</v>
      </c>
    </row>
    <row s="3580"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580" customFormat="1" customHeight="1" ht="14.699999999999998">
      <c r="A8" s="1220"/>
      <c r="B8" s="1225"/>
      <c r="C8" s="1220"/>
      <c r="D8" s="1560"/>
      <c r="E8" s="574"/>
      <c r="F8" s="232"/>
      <c r="G8" s="232"/>
      <c r="H8" s="232"/>
      <c r="I8" s="232"/>
      <c r="J8" s="232"/>
      <c r="K8" s="232"/>
      <c r="L8" s="232"/>
      <c r="M8" s="232"/>
      <c r="N8" s="681"/>
      <c r="O8" s="565"/>
      <c r="P8" s="565"/>
      <c r="Q8" s="572">
        <v>14</v>
      </c>
    </row>
    <row s="5181" customFormat="1" customHeight="1" ht="14.25" hidden="1">
      <c r="A9" s="1533"/>
      <c r="B9" s="1543"/>
      <c r="C9" s="1533"/>
      <c r="D9" s="1560"/>
      <c r="E9" s="1979"/>
      <c r="F9" s="1979"/>
      <c r="G9" s="1979"/>
      <c r="H9" s="1979"/>
      <c r="I9" s="2558"/>
      <c r="J9" s="2558"/>
      <c r="K9" s="2558"/>
      <c r="L9" s="1979"/>
      <c r="M9" s="1980"/>
      <c r="O9" s="1610"/>
      <c r="P9" s="1610"/>
      <c r="Q9" s="1611">
        <v>0</v>
      </c>
    </row>
    <row s="3580" customFormat="1" customHeight="1" ht="14.699999999999998">
      <c r="A10" s="1220"/>
      <c r="B10" s="1225"/>
      <c r="C10" s="1220"/>
      <c r="D10" s="1560"/>
      <c r="E10" s="2192" t="s">
        <v>319</v>
      </c>
      <c r="F10" s="2192"/>
      <c r="G10" s="2192"/>
      <c r="H10" s="2192"/>
      <c r="I10" s="2192"/>
      <c r="J10" s="2192"/>
      <c r="K10" s="2192"/>
      <c r="L10" s="2192"/>
      <c r="M10" s="2166"/>
      <c r="N10" s="2543" t="s">
        <v>320</v>
      </c>
      <c r="O10" s="565"/>
      <c r="P10" s="565"/>
      <c r="Q10" s="572">
        <v>14</v>
      </c>
    </row>
    <row s="3580" customFormat="1" customHeight="1" ht="44.25">
      <c r="A11" s="1696"/>
      <c r="B11" s="1431"/>
      <c r="C11" s="1696"/>
      <c r="D11" s="1580"/>
      <c r="E11" s="2557" t="s">
        <v>91</v>
      </c>
      <c r="F11" s="2557" t="s">
        <v>323</v>
      </c>
      <c r="G11" s="2557" t="s">
        <v>1907</v>
      </c>
      <c r="H11" s="2557"/>
      <c r="I11" s="2557" t="s">
        <v>1908</v>
      </c>
      <c r="J11" s="2557"/>
      <c r="K11" s="2557"/>
      <c r="L11" s="2557" t="s">
        <v>1909</v>
      </c>
      <c r="M11" s="2545" t="s">
        <v>1910</v>
      </c>
      <c r="N11" s="2556"/>
      <c r="O11" s="1689"/>
      <c r="P11" s="1689"/>
      <c r="Q11" s="1674">
        <v>42</v>
      </c>
    </row>
    <row s="3580" customFormat="1" customHeight="1" ht="29.25">
      <c r="A12" s="1220"/>
      <c r="B12" s="1225"/>
      <c r="C12" s="1220"/>
      <c r="D12" s="1560"/>
      <c r="E12" s="2543"/>
      <c r="F12" s="2557"/>
      <c r="G12" s="1974" t="s">
        <v>1911</v>
      </c>
      <c r="H12" s="1974" t="s">
        <v>327</v>
      </c>
      <c r="I12" s="2557"/>
      <c r="J12" s="2557"/>
      <c r="K12" s="2557"/>
      <c r="L12" s="2557"/>
      <c r="M12" s="2545"/>
      <c r="N12" s="2544"/>
      <c r="O12" s="565"/>
      <c r="P12" s="565"/>
      <c r="Q12" s="572">
        <v>28</v>
      </c>
    </row>
    <row s="5662" customFormat="1" customHeight="1" ht="23.25">
      <c r="A13" s="2164">
        <v>26379339</v>
      </c>
      <c r="B13" s="1225">
        <v>1</v>
      </c>
      <c r="C13" s="1225"/>
      <c r="D13" s="866"/>
      <c r="E13" s="2192">
        <v>1</v>
      </c>
      <c r="F13" s="2551" t="str">
        <f>IF(region_name="","",region_name)</f>
        <v>Ставропольский край</v>
      </c>
      <c r="G13" s="2552"/>
      <c r="H13" s="2559"/>
      <c r="I13" s="539"/>
      <c r="J13" s="1970">
        <v>1</v>
      </c>
      <c r="K13" s="1983"/>
      <c r="L13" s="1984"/>
      <c r="M13" s="1984"/>
      <c r="N13" s="2553" t="s">
        <v>1912</v>
      </c>
      <c r="O13" s="1600"/>
      <c r="P13" s="576"/>
      <c r="Q13" s="488">
        <v>22</v>
      </c>
    </row>
    <row s="5662" customFormat="1" customHeight="1" ht="23.25">
      <c r="A14" s="2164"/>
      <c r="B14" s="1225"/>
      <c r="C14" s="1225"/>
      <c r="D14" s="866"/>
      <c r="E14" s="2192"/>
      <c r="F14" s="2551"/>
      <c r="G14" s="2552"/>
      <c r="H14" s="2560"/>
      <c r="I14" s="486"/>
      <c r="J14" s="1565"/>
      <c r="K14" s="1565" t="s">
        <v>1906</v>
      </c>
      <c r="L14" s="1608"/>
      <c r="M14" s="1608"/>
      <c r="N14" s="2554"/>
      <c r="O14" s="1600"/>
      <c r="P14" s="576"/>
      <c r="Q14" s="488">
        <v>22</v>
      </c>
    </row>
    <row s="5662" customFormat="1" customHeight="1" ht="23.25">
      <c r="A15" s="2164"/>
      <c r="B15" s="1225"/>
      <c r="C15" s="477"/>
      <c r="D15" s="866"/>
      <c r="E15" s="486"/>
      <c r="F15" s="1565" t="s">
        <v>1898</v>
      </c>
      <c r="G15" s="1607"/>
      <c r="H15" s="1607"/>
      <c r="I15" s="252"/>
      <c r="J15" s="252"/>
      <c r="K15" s="252"/>
      <c r="L15" s="252"/>
      <c r="M15" s="252"/>
      <c r="N15" s="2554"/>
      <c r="O15" s="1601"/>
      <c r="P15" s="576"/>
      <c r="Q15" s="488">
        <v>22</v>
      </c>
    </row>
    <row s="3580" customFormat="1" customHeight="1" ht="22.049999999999997">
      <c r="A16" s="1220"/>
      <c r="B16" s="1225"/>
      <c r="C16" s="1220"/>
      <c r="D16" s="516"/>
      <c r="E16" s="245"/>
      <c r="F16" s="245"/>
      <c r="G16" s="245"/>
      <c r="H16" s="245"/>
      <c r="I16" s="245"/>
      <c r="J16" s="245"/>
      <c r="K16" s="245"/>
      <c r="L16" s="245"/>
      <c r="M16" s="574"/>
      <c r="N16" s="1700"/>
      <c r="O16" s="565"/>
      <c r="P16" s="565"/>
      <c r="Q16" s="572">
        <v>21</v>
      </c>
    </row>
    <row s="3580"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580"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85</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63862-AB03-5B0C-C04E-66AB745AA84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207" width="9.140625" hidden="1"/>
    <col min="2" max="2" style="5419" width="9.140625" hidden="1"/>
    <col min="3" max="3" style="5204" width="3.00390625" customWidth="1"/>
    <col min="4" max="4" style="5419" width="6.00390625" customWidth="1"/>
    <col min="5" max="5" style="5419" width="22.00390625" customWidth="1"/>
    <col min="6" max="6" style="5419" width="15.00390625" customWidth="1"/>
    <col min="7" max="7" style="5419" width="14.00390625" customWidth="1"/>
    <col min="8" max="8" style="5419" width="47.00390625" customWidth="1"/>
    <col min="9" max="9" style="5419" width="115.00390625" customWidth="1"/>
    <col min="10" max="10" style="5419" width="3.00390625" customWidth="1"/>
    <col min="11" max="12" style="5419" width="8.00390625" customWidth="1"/>
    <col min="13" max="13" style="5419" width="9.140625" hidden="1"/>
  </cols>
  <sheetData>
    <row customHeight="1" ht="14.25" hidden="1">
      <c r="M1" s="186" t="s">
        <v>14</v>
      </c>
    </row>
    <row customHeight="1" ht="14.25" hidden="1">
      <c r="M2" s="186">
        <v>0</v>
      </c>
    </row>
    <row customHeight="1" ht="14.25" hidden="1">
      <c r="M3" s="186">
        <v>0</v>
      </c>
    </row>
    <row customHeight="1" ht="3">
      <c r="M4" s="186">
        <v>3</v>
      </c>
    </row>
    <row s="4921" customFormat="1" customHeight="1" ht="31.5">
      <c r="A5" s="180"/>
      <c r="C5" s="155"/>
      <c r="D5" s="2165" t="s">
        <v>1913</v>
      </c>
      <c r="E5" s="2165"/>
      <c r="F5" s="2165"/>
      <c r="G5" s="2165"/>
      <c r="H5" s="2165"/>
      <c r="I5" s="330"/>
      <c r="M5" s="148">
        <v>30</v>
      </c>
    </row>
    <row customHeight="1" ht="3" hidden="1">
      <c r="D6" s="187"/>
      <c r="E6" s="187"/>
      <c r="F6" s="187"/>
      <c r="G6" s="187"/>
      <c r="H6" s="187"/>
      <c r="I6" s="187"/>
      <c r="M6" s="186">
        <v>0</v>
      </c>
    </row>
    <row s="5207" customFormat="1" customHeight="1" ht="14.699999999999998">
      <c r="B7" s="184"/>
      <c r="C7" s="185"/>
      <c r="D7" s="188"/>
      <c r="E7" s="188"/>
      <c r="F7" s="188"/>
      <c r="G7" s="188"/>
      <c r="H7" s="817"/>
      <c r="I7" s="188"/>
      <c r="J7" s="189"/>
      <c r="M7" s="183">
        <v>14</v>
      </c>
    </row>
    <row customHeight="1" ht="14.699999999999998">
      <c r="D8" s="2274" t="s">
        <v>319</v>
      </c>
      <c r="E8" s="2274"/>
      <c r="F8" s="2274"/>
      <c r="G8" s="2274"/>
      <c r="H8" s="2274"/>
      <c r="I8" s="2274" t="s">
        <v>320</v>
      </c>
      <c r="M8" s="186">
        <v>14</v>
      </c>
    </row>
    <row customHeight="1" ht="29.25">
      <c r="D9" s="2274" t="s">
        <v>91</v>
      </c>
      <c r="E9" s="2274" t="s">
        <v>1914</v>
      </c>
      <c r="F9" s="2274"/>
      <c r="G9" s="2274"/>
      <c r="H9" s="2274"/>
      <c r="I9" s="2274"/>
      <c r="M9" s="186">
        <v>28</v>
      </c>
    </row>
    <row customHeight="1" ht="24">
      <c r="D10" s="2274"/>
      <c r="E10" s="192" t="s">
        <v>1915</v>
      </c>
      <c r="F10" s="192" t="s">
        <v>1916</v>
      </c>
      <c r="G10" s="192" t="s">
        <v>1917</v>
      </c>
      <c r="H10" s="192" t="s">
        <v>409</v>
      </c>
      <c r="I10" s="2274"/>
      <c r="M10" s="186">
        <v>23</v>
      </c>
    </row>
    <row customHeight="1" ht="12" hidden="1">
      <c r="D11" s="152" t="s">
        <v>112</v>
      </c>
      <c r="E11" s="152" t="s">
        <v>94</v>
      </c>
      <c r="F11" s="152" t="s">
        <v>114</v>
      </c>
      <c r="G11" s="152" t="s">
        <v>95</v>
      </c>
      <c r="H11" s="152" t="s">
        <v>96</v>
      </c>
      <c r="I11" s="152" t="s">
        <v>115</v>
      </c>
      <c r="M11" s="186">
        <v>0</v>
      </c>
    </row>
    <row s="5419" customFormat="1" customHeight="1" ht="26.25">
      <c r="A12" s="210" t="s">
        <v>93</v>
      </c>
      <c r="B12" s="190" t="s">
        <v>28</v>
      </c>
      <c r="C12" s="191"/>
      <c r="D12" s="193" t="s">
        <v>112</v>
      </c>
      <c r="E12" s="446"/>
      <c r="F12" s="446"/>
      <c r="G12" s="1799" t="s">
        <v>28</v>
      </c>
      <c r="H12" s="447"/>
      <c r="I12" s="2234" t="s">
        <v>1918</v>
      </c>
      <c r="K12" s="337"/>
      <c r="L12" s="338"/>
      <c r="M12" s="182">
        <v>25</v>
      </c>
    </row>
    <row customHeight="1" ht="15.75">
      <c r="A13" s="186"/>
      <c r="B13" s="186"/>
      <c r="C13" s="186"/>
      <c r="D13" s="174"/>
      <c r="E13" s="195" t="s">
        <v>488</v>
      </c>
      <c r="F13" s="194"/>
      <c r="G13" s="194"/>
      <c r="H13" s="279"/>
      <c r="I13" s="2236"/>
      <c r="M13" s="186">
        <v>15</v>
      </c>
    </row>
    <row customHeight="1" ht="3">
      <c r="A14" s="186"/>
      <c r="B14" s="186"/>
      <c r="C14" s="186"/>
      <c r="M14" s="186">
        <v>3</v>
      </c>
    </row>
    <row customHeight="1" ht="29.25">
      <c r="E15" s="2561" t="s">
        <v>1919</v>
      </c>
      <c r="F15" s="2561"/>
      <c r="G15" s="2561"/>
      <c r="H15" s="2561"/>
      <c r="M15" s="186">
        <v>28</v>
      </c>
    </row>
    <row customHeight="1" ht="14.25" hidden="1">
      <c r="A16" s="183" t="s">
        <v>85</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4F41E-D60E-C11C-8152-7270DF3B6DD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5240" width="9.140625" hidden="1"/>
    <col min="3" max="3" style="5237" width="3.00390625" customWidth="1"/>
    <col min="4" max="4" style="5240" width="6.00390625" customWidth="1"/>
    <col min="5" max="5" style="5240" width="94.00390625" customWidth="1"/>
    <col min="6" max="9" style="5240" width="8.00390625" customWidth="1"/>
    <col min="10" max="10" style="5240"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1920</v>
      </c>
      <c r="E7" s="2563"/>
      <c r="F7" s="332"/>
      <c r="J7" s="134">
        <v>22</v>
      </c>
    </row>
    <row customHeight="1" ht="3">
      <c r="C8" s="157"/>
      <c r="D8" s="135"/>
      <c r="E8" s="135"/>
      <c r="J8" s="134">
        <v>3</v>
      </c>
    </row>
    <row customHeight="1" ht="16.8">
      <c r="C9" s="157"/>
      <c r="D9" s="170" t="s">
        <v>91</v>
      </c>
      <c r="E9" s="325" t="s">
        <v>1921</v>
      </c>
      <c r="J9" s="134">
        <v>16</v>
      </c>
    </row>
    <row customHeight="1" ht="1.05">
      <c r="C10" s="157"/>
      <c r="D10" s="152"/>
      <c r="E10" s="152"/>
      <c r="J10" s="134">
        <v>1</v>
      </c>
    </row>
    <row customHeight="1" ht="11.25" hidden="1">
      <c r="C11" s="157"/>
      <c r="D11" s="215">
        <v>0</v>
      </c>
      <c r="E11" s="326"/>
      <c r="J11" s="134">
        <v>0</v>
      </c>
    </row>
    <row customHeight="1" ht="15.75">
      <c r="C12" s="201"/>
      <c r="D12" s="178">
        <v>1</v>
      </c>
      <c r="E12" s="442" t="s">
        <v>1922</v>
      </c>
      <c r="J12" s="134">
        <v>15</v>
      </c>
    </row>
    <row customHeight="1" ht="12.75">
      <c r="C13" s="157"/>
      <c r="D13" s="327"/>
      <c r="E13" s="328" t="s">
        <v>1923</v>
      </c>
      <c r="J13" s="134">
        <v>12</v>
      </c>
    </row>
    <row customHeight="1" ht="3">
      <c r="J14" s="134">
        <v>3</v>
      </c>
    </row>
    <row customHeight="1" ht="23.25">
      <c r="C15" s="202"/>
      <c r="D15" s="2564" t="s">
        <v>1924</v>
      </c>
      <c r="E15" s="2564"/>
      <c r="F15" s="203"/>
      <c r="G15" s="203"/>
      <c r="H15" s="203"/>
      <c r="I15" s="203"/>
      <c r="J15" s="134">
        <v>22</v>
      </c>
    </row>
    <row customHeight="1" ht="14.25" hidden="1">
      <c r="A16" s="134" t="s">
        <v>85</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F7A4C-FE3F-1E93-7C94-85598FE6BE0C}"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5240" width="9.140625" hidden="1"/>
    <col min="3" max="3" style="5237" width="3.00390625" customWidth="1"/>
    <col min="4" max="4" style="5240" width="6.00390625" customWidth="1"/>
    <col min="5" max="5" style="5240" width="94.00390625" customWidth="1"/>
    <col min="6" max="12" style="5240" width="8.00390625" customWidth="1"/>
    <col min="13" max="13" style="5240"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1925</v>
      </c>
      <c r="E7" s="2165"/>
      <c r="F7" s="332"/>
      <c r="M7" s="134">
        <v>22</v>
      </c>
    </row>
    <row customHeight="1" ht="3">
      <c r="C8" s="157"/>
      <c r="D8" s="135"/>
      <c r="E8" s="135"/>
      <c r="M8" s="134">
        <v>3</v>
      </c>
    </row>
    <row customHeight="1" ht="16.8">
      <c r="C9" s="157"/>
      <c r="D9" s="170" t="s">
        <v>91</v>
      </c>
      <c r="E9" s="173" t="s">
        <v>306</v>
      </c>
      <c r="M9" s="134">
        <v>16</v>
      </c>
    </row>
    <row customHeight="1" ht="12.75">
      <c r="C10" s="157"/>
      <c r="D10" s="152" t="s">
        <v>112</v>
      </c>
      <c r="E10" s="152" t="s">
        <v>113</v>
      </c>
      <c r="M10" s="134">
        <v>12</v>
      </c>
    </row>
    <row customHeight="1" ht="15" hidden="1">
      <c r="C11" s="157"/>
      <c r="D11" s="178">
        <v>0</v>
      </c>
      <c r="E11" s="214"/>
      <c r="M11" s="134">
        <v>0</v>
      </c>
    </row>
    <row customHeight="1" ht="17.25">
      <c r="A12" s="5240"/>
      <c r="B12" s="5240"/>
      <c r="C12" s="1882" t="s">
        <v>193</v>
      </c>
      <c r="D12" s="178" t="s">
        <v>112</v>
      </c>
      <c r="E12" s="179" t="s">
        <v>1926</v>
      </c>
      <c r="F12" s="5240"/>
      <c r="G12" s="5240"/>
      <c r="H12" s="5240"/>
      <c r="I12" s="5240"/>
      <c r="J12" s="5240"/>
      <c r="K12" s="5240"/>
      <c r="L12" s="5240"/>
      <c r="M12" s="5240"/>
    </row>
    <row customHeight="1" ht="14.699999999999998">
      <c r="C13" s="157"/>
      <c r="D13" s="174"/>
      <c r="E13" s="172" t="s">
        <v>1923</v>
      </c>
      <c r="M13" s="134">
        <v>14</v>
      </c>
    </row>
    <row customHeight="1" ht="14.25" hidden="1">
      <c r="A14" s="134" t="s">
        <v>85</v>
      </c>
      <c r="B14" s="134">
        <v>0</v>
      </c>
      <c r="C14" s="156">
        <v>3</v>
      </c>
      <c r="D14" s="134">
        <v>6</v>
      </c>
      <c r="E14" s="134">
        <v>94</v>
      </c>
      <c r="F14" s="134">
        <v>8</v>
      </c>
      <c r="G14" s="134">
        <v>8</v>
      </c>
      <c r="H14" s="134">
        <v>8</v>
      </c>
      <c r="I14" s="134">
        <v>8</v>
      </c>
      <c r="J14" s="134">
        <v>8</v>
      </c>
      <c r="K14" s="134">
        <v>8</v>
      </c>
      <c r="L14" s="134">
        <v>8</v>
      </c>
      <c r="M14" s="13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EF1DD-9B5A-E4D5-6C89-D54709D6891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62" width="1.7109375" customWidth="1"/>
    <col min="2" max="2" style="5662" width="34.57421875" customWidth="1"/>
    <col min="3" max="3" style="5662" width="85.00390625" customWidth="1"/>
    <col min="4" max="4" style="5662" width="17.00390625" customWidth="1"/>
    <col min="5" max="5" style="5662" width="8.00390625" customWidth="1"/>
    <col min="6" max="6" style="5662" width="9.140625" hidden="1"/>
  </cols>
  <sheetData>
    <row customHeight="1" ht="3">
      <c r="F1" s="154" t="s">
        <v>14</v>
      </c>
    </row>
    <row customHeight="1" ht="22.5">
      <c r="B2" s="2678" t="s">
        <v>1927</v>
      </c>
      <c r="C2" s="2565"/>
      <c r="D2" s="2565"/>
      <c r="E2" s="333"/>
      <c r="F2" s="154">
        <v>22</v>
      </c>
    </row>
    <row customHeight="1" ht="3">
      <c r="F3" s="154">
        <v>3</v>
      </c>
    </row>
    <row customHeight="1" ht="23.25">
      <c r="B4" s="2679" t="s">
        <v>1928</v>
      </c>
      <c r="C4" s="448" t="s">
        <v>1929</v>
      </c>
      <c r="D4" s="448" t="s">
        <v>1930</v>
      </c>
      <c r="F4" s="154">
        <v>22</v>
      </c>
    </row>
    <row customHeight="1" ht="11.25" hidden="1">
      <c r="A5" s="154" t="s">
        <v>85</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24EB5-620E-9BEA-97E4-05FF5A198E7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62" width="26.57421875" customWidth="1"/>
    <col min="2" max="2" style="5662" width="10.00390625" customWidth="1"/>
    <col min="3" max="3" style="5662" width="9.140625"/>
    <col min="4" max="4" style="5662" width="11.140625" customWidth="1"/>
    <col min="5" max="5" style="5662" width="16.57421875" customWidth="1"/>
    <col min="6" max="6" style="5662" width="16.28125" customWidth="1"/>
    <col min="7" max="7" style="5662" width="19.140625" customWidth="1"/>
    <col min="8" max="11" style="5662" width="10.00390625" customWidth="1"/>
    <col min="12" max="12" style="5662" width="12.7109375" customWidth="1"/>
    <col min="13" max="13" style="5662" width="61.28125" customWidth="1"/>
    <col min="14" max="14" style="5662" width="10.00390625" customWidth="1"/>
    <col min="15" max="17" style="5662" width="23.7109375" customWidth="1"/>
    <col min="18" max="18" style="5662" width="11.7109375" customWidth="1"/>
    <col min="19" max="19" style="5662" width="8.57421875" customWidth="1"/>
    <col min="20" max="20" style="5662" width="11.7109375" customWidth="1"/>
    <col min="21" max="21" style="5662" width="8.57421875" customWidth="1"/>
    <col min="22" max="22" style="5662" width="4.7109375" customWidth="1"/>
    <col min="23" max="23" style="5662" width="115.7109375" customWidth="1"/>
    <col min="24" max="24" style="5662" width="115.28125" customWidth="1"/>
    <col min="25" max="27" style="5662" width="9.140625"/>
    <col min="28" max="28" style="5662" width="115.7109375" customWidth="1"/>
    <col min="29" max="29" style="5662" width="9.140625"/>
    <col min="30" max="90" style="5662" width="115.7109375" customWidth="1"/>
    <col min="91" max="184" style="5662" width="9.140625"/>
  </cols>
  <sheetData>
    <row r="2" s="5250" customFormat="1" customHeight="1" ht="17.25">
      <c r="A2" s="1880" t="s">
        <v>1931</v>
      </c>
    </row>
    <row r="4" s="5240" customFormat="1" customHeight="1" ht="15">
      <c r="C4" s="1881"/>
      <c r="D4" s="178"/>
      <c r="E4" s="442"/>
    </row>
    <row r="6" s="5250" customFormat="1" customHeight="1" ht="17.25">
      <c r="A6" s="1880" t="s">
        <v>1932</v>
      </c>
    </row>
    <row r="8" s="5240" customFormat="1" customHeight="1" ht="17.25">
      <c r="C8" s="1882"/>
      <c r="D8" s="178"/>
      <c r="E8" s="179"/>
    </row>
    <row r="11" s="5250" customFormat="1" customHeight="1" ht="17.25">
      <c r="A11" s="1880" t="s">
        <v>1933</v>
      </c>
    </row>
    <row r="13" s="3580" customFormat="1" customHeight="1" ht="15">
      <c r="A13" s="2282">
        <v>1</v>
      </c>
      <c r="B13" s="1225"/>
      <c r="C13" s="866" t="s">
        <v>193</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662"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662" customFormat="1" customHeight="1" ht="15">
      <c r="A15" s="2282"/>
      <c r="B15" s="1225"/>
      <c r="C15" s="477"/>
      <c r="D15" s="866"/>
      <c r="E15" s="486"/>
      <c r="F15" s="242"/>
      <c r="G15" s="480" t="s">
        <v>105</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5250" customFormat="1" customHeight="1" ht="17.25">
      <c r="A17" s="1880" t="s">
        <v>1934</v>
      </c>
    </row>
    <row r="19" s="5662" customFormat="1" customHeight="1" ht="15">
      <c r="A19" s="1947"/>
      <c r="B19" s="1431">
        <v>1</v>
      </c>
      <c r="C19" s="1431"/>
      <c r="D19" s="865" t="s">
        <v>193</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662" customFormat="1" customHeight="1" ht="15">
      <c r="A21" s="1880" t="s">
        <v>1935</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662" customFormat="1" customHeight="1" ht="15">
      <c r="U22" s="250"/>
    </row>
    <row s="5485" customFormat="1" customHeight="1" ht="15">
      <c r="A23" s="488"/>
      <c r="B23" s="488"/>
      <c r="C23" s="1793" t="s">
        <v>193</v>
      </c>
      <c r="D23" s="2173" t="s">
        <v>112</v>
      </c>
      <c r="E23" s="2174"/>
      <c r="F23" s="2172" t="s">
        <v>19</v>
      </c>
      <c r="G23" s="2622"/>
      <c r="H23" s="2192">
        <v>1</v>
      </c>
      <c r="I23" s="2624" t="str">
        <f>IF(U23="","",INDEX(TERRITORY_MR_LIST,MATCH(U23,TERRITORY_LIST_ID,0)))</f>
        <v/>
      </c>
      <c r="J23" s="2172" t="s">
        <v>19</v>
      </c>
      <c r="K23" s="897"/>
      <c r="L23" s="1847" t="s">
        <v>112</v>
      </c>
      <c r="M23" s="668"/>
      <c r="N23" s="669"/>
      <c r="O23" s="669"/>
      <c r="P23" s="669"/>
      <c r="Q23" s="669"/>
      <c r="R23" s="669"/>
      <c r="S23" s="669"/>
      <c r="T23" s="669"/>
      <c r="U23" s="670"/>
      <c r="V23" s="669"/>
      <c r="W23" s="669"/>
      <c r="X23" s="660"/>
      <c r="Y23" s="660" t="s">
        <v>121</v>
      </c>
      <c r="Z23" s="660">
        <v>1705000</v>
      </c>
      <c r="AA23" s="660"/>
      <c r="AB23" s="660"/>
      <c r="AC23" s="660"/>
      <c r="AD23" s="660"/>
      <c r="AE23" s="660"/>
      <c r="AF23" s="660"/>
      <c r="AG23" s="660"/>
      <c r="AH23" s="660"/>
      <c r="AI23" s="660"/>
      <c r="AJ23" s="660"/>
      <c r="AK23" s="660"/>
      <c r="AL23" s="660"/>
    </row>
    <row s="5485" customFormat="1" customHeight="1" ht="15">
      <c r="A24" s="488"/>
      <c r="B24" s="488"/>
      <c r="C24" s="241"/>
      <c r="D24" s="2173"/>
      <c r="E24" s="2175"/>
      <c r="F24" s="2172"/>
      <c r="G24" s="2623"/>
      <c r="H24" s="2192"/>
      <c r="I24" s="2625"/>
      <c r="J24" s="2172"/>
      <c r="K24" s="486"/>
      <c r="L24" s="242"/>
      <c r="M24" s="672" t="s">
        <v>122</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485" customFormat="1" customHeight="1" ht="15">
      <c r="A25" s="488"/>
      <c r="B25" s="488"/>
      <c r="C25" s="241"/>
      <c r="D25" s="2173"/>
      <c r="E25" s="2176"/>
      <c r="F25" s="2172"/>
      <c r="G25" s="486"/>
      <c r="H25" s="242"/>
      <c r="I25" s="645" t="s">
        <v>123</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662" customFormat="1" customHeight="1" ht="15">
      <c r="U26" s="250"/>
    </row>
    <row s="5662" customFormat="1" customHeight="1" ht="15">
      <c r="A27" s="1880" t="s">
        <v>1936</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662" customFormat="1" customHeight="1" ht="15">
      <c r="U28" s="250"/>
    </row>
    <row s="5485" customFormat="1" customHeight="1" ht="15">
      <c r="A29" s="488"/>
      <c r="B29" s="488"/>
      <c r="C29" s="241"/>
      <c r="D29" s="1886"/>
      <c r="E29" s="1886"/>
      <c r="F29" s="1886"/>
      <c r="G29" s="2626" t="s">
        <v>193</v>
      </c>
      <c r="H29" s="2168">
        <v>1</v>
      </c>
      <c r="I29" s="2627" t="str">
        <f>IF(U29="","",INDEX(TERRITORY_MR_LIST,MATCH(U29,TERRITORY_LIST_ID,0)))</f>
        <v/>
      </c>
      <c r="J29" s="2172" t="s">
        <v>19</v>
      </c>
      <c r="K29" s="897"/>
      <c r="L29" s="1847" t="s">
        <v>112</v>
      </c>
      <c r="M29" s="668"/>
      <c r="N29" s="669"/>
      <c r="O29" s="669"/>
      <c r="P29" s="669"/>
      <c r="Q29" s="669"/>
      <c r="R29" s="669"/>
      <c r="S29" s="669"/>
      <c r="T29" s="669"/>
      <c r="U29" s="670"/>
      <c r="V29" s="669"/>
      <c r="W29" s="669"/>
      <c r="X29" s="660"/>
      <c r="Y29" s="660" t="s">
        <v>121</v>
      </c>
      <c r="Z29" s="660">
        <v>1705000</v>
      </c>
      <c r="AA29" s="660"/>
      <c r="AB29" s="660"/>
      <c r="AC29" s="660"/>
      <c r="AD29" s="660"/>
      <c r="AE29" s="660"/>
      <c r="AF29" s="660"/>
      <c r="AG29" s="660"/>
      <c r="AH29" s="660"/>
      <c r="AI29" s="660"/>
      <c r="AJ29" s="660"/>
      <c r="AK29" s="660"/>
      <c r="AL29" s="660"/>
    </row>
    <row s="5485" customFormat="1" customHeight="1" ht="15">
      <c r="A30" s="488"/>
      <c r="B30" s="488"/>
      <c r="C30" s="241"/>
      <c r="D30" s="1886"/>
      <c r="E30" s="1886"/>
      <c r="F30" s="1886"/>
      <c r="G30" s="2626"/>
      <c r="H30" s="2168"/>
      <c r="I30" s="2627"/>
      <c r="J30" s="2172"/>
      <c r="K30" s="486"/>
      <c r="L30" s="242"/>
      <c r="M30" s="672" t="s">
        <v>122</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662" customFormat="1" customHeight="1" ht="15">
      <c r="U31" s="250"/>
    </row>
    <row s="5662" customFormat="1" customHeight="1" ht="15">
      <c r="A32" s="1880" t="s">
        <v>1937</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662" customFormat="1" customHeight="1" ht="15">
      <c r="U33" s="250"/>
    </row>
    <row s="5485" customFormat="1" customHeight="1" ht="15">
      <c r="A34" s="488"/>
      <c r="B34" s="488"/>
      <c r="C34" s="241"/>
      <c r="D34" s="1886"/>
      <c r="E34" s="1886"/>
      <c r="F34" s="1886"/>
      <c r="G34" s="1886"/>
      <c r="H34" s="1886"/>
      <c r="I34" s="1886"/>
      <c r="J34" s="1886"/>
      <c r="K34" s="1864" t="s">
        <v>193</v>
      </c>
      <c r="L34" s="1794" t="s">
        <v>112</v>
      </c>
      <c r="M34" s="876"/>
      <c r="N34" s="877"/>
      <c r="O34" s="669"/>
      <c r="P34" s="669"/>
      <c r="Q34" s="669"/>
      <c r="R34" s="669"/>
      <c r="S34" s="669"/>
      <c r="T34" s="669"/>
      <c r="U34" s="670"/>
      <c r="V34" s="669"/>
      <c r="W34" s="669"/>
      <c r="X34" s="660"/>
      <c r="Y34" s="660" t="s">
        <v>121</v>
      </c>
      <c r="Z34" s="660">
        <v>1705000</v>
      </c>
      <c r="AA34" s="660"/>
      <c r="AB34" s="660"/>
      <c r="AC34" s="660"/>
      <c r="AD34" s="660"/>
      <c r="AE34" s="660"/>
      <c r="AF34" s="660"/>
      <c r="AG34" s="660"/>
      <c r="AH34" s="660"/>
      <c r="AI34" s="660"/>
      <c r="AJ34" s="660"/>
      <c r="AK34" s="660"/>
      <c r="AL34" s="660"/>
    </row>
    <row s="5662" customFormat="1" customHeight="1" ht="15">
      <c r="U35" s="250"/>
    </row>
    <row s="5662" customFormat="1" customHeight="1" ht="15">
      <c r="U36" s="250"/>
    </row>
    <row s="5250" customFormat="1" customHeight="1" ht="11.25">
      <c r="A37" s="1880" t="s">
        <v>1938</v>
      </c>
    </row>
    <row customHeight="1" ht="11.25"/>
    <row s="3431" customFormat="1" customHeight="1" ht="22.5">
      <c r="A39" s="1856"/>
      <c r="B39" s="522"/>
      <c r="C39" s="924"/>
      <c r="D39" s="505"/>
      <c r="E39" s="925"/>
      <c r="F39" s="1877"/>
      <c r="G39" s="1887"/>
      <c r="H39" s="540"/>
    </row>
    <row customHeight="1" ht="11.25"/>
    <row s="5250" customFormat="1" customHeight="1" ht="11.25">
      <c r="A41" s="1880" t="s">
        <v>1939</v>
      </c>
    </row>
    <row customHeight="1" ht="11.25"/>
    <row s="3431" customFormat="1" customHeight="1" ht="22.5">
      <c r="A43" s="522"/>
      <c r="B43" s="522"/>
      <c r="C43" s="522"/>
      <c r="D43" s="505"/>
      <c r="E43" s="925"/>
      <c r="F43" s="926"/>
      <c r="G43" s="1887"/>
      <c r="H43" s="540"/>
    </row>
    <row customHeight="1" ht="11.25"/>
    <row s="5250" customFormat="1" customHeight="1" ht="11.25">
      <c r="A45" s="1880" t="s">
        <v>1940</v>
      </c>
    </row>
    <row customHeight="1" ht="11.25"/>
    <row s="3431" customFormat="1" customHeight="1" ht="24">
      <c r="A47" s="2267" t="s">
        <v>332</v>
      </c>
      <c r="B47" s="567"/>
      <c r="C47" s="2278"/>
      <c r="D47" s="510" t="str">
        <f>A47</f>
        <v>5.1</v>
      </c>
      <c r="E47" s="507" t="s">
        <v>333</v>
      </c>
      <c r="F47" s="2041" t="s">
        <v>325</v>
      </c>
      <c r="G47" s="509" t="s">
        <v>334</v>
      </c>
      <c r="H47" s="540"/>
      <c r="I47" s="917"/>
    </row>
    <row s="3431" customFormat="1" customHeight="1" ht="22.5">
      <c r="A48" s="2267"/>
      <c r="B48" s="567"/>
      <c r="C48" s="2278"/>
      <c r="D48" s="505" t="str">
        <f>D47&amp;".1"</f>
        <v>5.1.1</v>
      </c>
      <c r="E48" s="504" t="s">
        <v>335</v>
      </c>
      <c r="F48" s="2042" t="s">
        <v>28</v>
      </c>
      <c r="G48" s="539"/>
      <c r="H48" s="540"/>
      <c r="I48" s="917"/>
    </row>
    <row s="3431" customFormat="1" customHeight="1" ht="22.5">
      <c r="A49" s="2267"/>
      <c r="B49" s="567"/>
      <c r="C49" s="2278"/>
      <c r="D49" s="505" t="str">
        <f>D47&amp;".2"</f>
        <v>5.1.2</v>
      </c>
      <c r="E49" s="504" t="s">
        <v>336</v>
      </c>
      <c r="F49" s="1797" t="s">
        <v>28</v>
      </c>
      <c r="G49" s="509" t="s">
        <v>337</v>
      </c>
      <c r="H49" s="540"/>
      <c r="I49" s="917"/>
    </row>
    <row s="3431" customFormat="1" customHeight="1" ht="22.5">
      <c r="A50" s="2267"/>
      <c r="B50" s="567"/>
      <c r="C50" s="2278"/>
      <c r="D50" s="505" t="str">
        <f>D47&amp;".3"</f>
        <v>5.1.3</v>
      </c>
      <c r="E50" s="504" t="s">
        <v>338</v>
      </c>
      <c r="F50" s="2042" t="s">
        <v>28</v>
      </c>
      <c r="G50" s="539"/>
      <c r="H50" s="540"/>
      <c r="I50" s="917"/>
    </row>
    <row s="3431" customFormat="1" customHeight="1" ht="22.5">
      <c r="A51" s="2267"/>
      <c r="B51" s="567"/>
      <c r="C51" s="2278"/>
      <c r="D51" s="505" t="str">
        <f>D47&amp;".4"</f>
        <v>5.1.4</v>
      </c>
      <c r="E51" s="504" t="s">
        <v>339</v>
      </c>
      <c r="F51" s="2042" t="s">
        <v>28</v>
      </c>
      <c r="G51" s="509" t="s">
        <v>340</v>
      </c>
      <c r="H51" s="540"/>
      <c r="I51" s="917"/>
    </row>
    <row r="54" s="5250" customFormat="1" customHeight="1" ht="17.25">
      <c r="A54" s="1880" t="s">
        <v>1941</v>
      </c>
    </row>
    <row r="56" s="3533" customFormat="1" customHeight="1" ht="18.75">
      <c r="A56" s="154"/>
      <c r="B56" s="1888"/>
      <c r="C56" s="1888"/>
      <c r="D56" s="1889"/>
      <c r="E56" s="1874"/>
      <c r="F56" s="933">
        <v>13</v>
      </c>
      <c r="G56" s="932"/>
      <c r="H56" s="858"/>
      <c r="I56" s="856"/>
      <c r="J56" s="585" t="s">
        <v>19</v>
      </c>
      <c r="K56" s="5287" t="s">
        <v>28</v>
      </c>
      <c r="L56" s="154"/>
      <c r="M56" s="1701"/>
      <c r="N56" s="1701"/>
      <c r="O56" s="1701"/>
      <c r="P56" s="581" t="s">
        <v>411</v>
      </c>
      <c r="Q56" s="581" t="s">
        <v>412</v>
      </c>
      <c r="R56" s="582" t="s">
        <v>413</v>
      </c>
      <c r="S56" s="1701" t="s">
        <v>414</v>
      </c>
      <c r="T56" s="1701"/>
      <c r="U56" s="1701"/>
      <c r="V56" s="1701"/>
    </row>
    <row r="58" s="5250" customFormat="1" customHeight="1" ht="11.25">
      <c r="A58" s="1880" t="s">
        <v>1942</v>
      </c>
    </row>
    <row r="60" s="4921"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400</v>
      </c>
      <c r="AQ60" s="1689" t="s">
        <v>400</v>
      </c>
      <c r="AR60" s="1701"/>
      <c r="AS60" s="1701"/>
    </row>
    <row r="62" s="5250" customFormat="1" customHeight="1" ht="11.25">
      <c r="A62" s="1880" t="s">
        <v>1943</v>
      </c>
    </row>
    <row r="64" s="5419" customFormat="1" customHeight="1" ht="15">
      <c r="A64" s="210" t="s">
        <v>93</v>
      </c>
      <c r="B64" s="190" t="s">
        <v>28</v>
      </c>
      <c r="C64" s="1891"/>
      <c r="D64" s="193"/>
      <c r="E64" s="446"/>
      <c r="F64" s="446"/>
      <c r="G64" s="1868"/>
      <c r="H64" s="1890"/>
      <c r="I64" s="1869"/>
      <c r="K64" s="337"/>
      <c r="L64" s="338"/>
    </row>
    <row r="66" s="5250" customFormat="1" customHeight="1" ht="11.25">
      <c r="A66" s="1880" t="s">
        <v>1944</v>
      </c>
    </row>
    <row r="68" s="4921" customFormat="1" customHeight="1" ht="14.25">
      <c r="A68" s="408"/>
      <c r="B68" s="1225"/>
      <c r="C68" s="441"/>
      <c r="D68" s="1875"/>
      <c r="E68" s="951"/>
      <c r="F68" s="1890"/>
      <c r="G68" s="154"/>
      <c r="I68" s="1689"/>
      <c r="J68" s="1689"/>
    </row>
    <row r="70" s="5250" customFormat="1" customHeight="1" ht="11.25">
      <c r="A70" s="1880" t="s">
        <v>1945</v>
      </c>
    </row>
    <row r="72" s="4921" customFormat="1" customHeight="1" ht="27">
      <c r="A72" s="1231"/>
      <c r="B72" s="1231"/>
      <c r="C72" s="1231"/>
      <c r="D72" s="1225"/>
      <c r="E72" s="1892"/>
      <c r="F72" s="2646"/>
      <c r="G72" s="2647"/>
      <c r="H72" s="2648" t="s">
        <v>64</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64</v>
      </c>
      <c r="Z72" s="1873"/>
      <c r="AA72" s="1857">
        <v>1</v>
      </c>
      <c r="AB72" s="1307"/>
      <c r="AD72" s="1701" t="s">
        <v>1946</v>
      </c>
    </row>
    <row s="4921"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1947</v>
      </c>
    </row>
    <row r="75" s="5250" customFormat="1" customHeight="1" ht="11.25">
      <c r="A75" s="1880" t="s">
        <v>1948</v>
      </c>
    </row>
    <row r="77" s="4921"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1946</v>
      </c>
    </row>
    <row r="79" s="5250" customFormat="1" customHeight="1" ht="11.25">
      <c r="A79" s="1880" t="s">
        <v>1949</v>
      </c>
    </row>
    <row customHeight="1" ht="17.25"/>
    <row s="4921"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921" customFormat="1" customHeight="1" ht="0.75">
      <c r="A82" s="1231"/>
      <c r="B82" s="1231"/>
      <c r="C82" s="1231"/>
      <c r="D82" s="1225"/>
      <c r="E82" s="1235"/>
      <c r="F82" s="2601"/>
      <c r="G82" s="2580"/>
      <c r="H82" s="2605" t="s">
        <v>395</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921"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921"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921"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921"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921" customFormat="1" customHeight="1" ht="12">
      <c r="A87" s="1231"/>
      <c r="B87" s="1231"/>
      <c r="C87" s="1231"/>
      <c r="D87" s="1225"/>
      <c r="E87" s="1235"/>
      <c r="F87" s="2602"/>
      <c r="G87" s="1255"/>
      <c r="H87" s="1255"/>
      <c r="I87" s="2600" t="s">
        <v>1950</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5250" customFormat="1" customHeight="1" ht="11.25">
      <c r="A89" s="1880" t="s">
        <v>1951</v>
      </c>
    </row>
    <row r="91" s="4921"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921"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921"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1952</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5250" customFormat="1" customHeight="1" ht="11.25">
      <c r="A95" s="1880" t="s">
        <v>1953</v>
      </c>
    </row>
    <row r="97" s="4921"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5250" customFormat="1" customHeight="1" ht="11.25">
      <c r="A99" s="1880" t="s">
        <v>1954</v>
      </c>
    </row>
    <row r="101" s="4921" customFormat="1" customHeight="1" ht="11.25">
      <c r="A101" s="1231"/>
      <c r="B101" s="1231"/>
      <c r="C101" s="1231"/>
      <c r="D101" s="1225"/>
      <c r="E101" s="1235"/>
      <c r="F101" s="1894"/>
      <c r="G101" s="1895"/>
      <c r="H101" s="2580" t="s">
        <v>112</v>
      </c>
      <c r="I101" s="2581"/>
      <c r="J101" s="2550"/>
      <c r="K101" s="2582"/>
      <c r="L101" s="2172" t="s">
        <v>19</v>
      </c>
      <c r="M101" s="2173"/>
      <c r="N101" s="2051"/>
      <c r="O101" s="1242" t="s">
        <v>395</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921"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921"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921"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1952</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921" customFormat="1" customHeight="1" ht="11.25">
      <c r="A105" s="1231"/>
      <c r="B105" s="1231"/>
      <c r="C105" s="1231"/>
      <c r="D105" s="1225"/>
      <c r="E105" s="1235"/>
      <c r="F105" s="1894"/>
      <c r="G105" s="1895"/>
      <c r="H105" s="2580"/>
      <c r="I105" s="2581"/>
      <c r="J105" s="2550"/>
      <c r="K105" s="2582"/>
      <c r="L105" s="2172"/>
      <c r="M105" s="2173"/>
      <c r="N105" s="1240"/>
      <c r="O105" s="1241"/>
      <c r="P105" s="1233" t="s">
        <v>1955</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5250" customFormat="1" customHeight="1" ht="11.25">
      <c r="A107" s="1880" t="s">
        <v>1956</v>
      </c>
    </row>
    <row customHeight="1" ht="17.25"/>
    <row s="4760"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760"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760" customFormat="1" customHeight="1" ht="12">
      <c r="A111" s="989"/>
      <c r="B111" s="988"/>
      <c r="C111" s="989"/>
      <c r="D111" s="989"/>
      <c r="E111" s="989"/>
      <c r="F111" s="1278"/>
      <c r="G111" s="1865" t="s">
        <v>1957</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5250" customFormat="1" customHeight="1" ht="11.25">
      <c r="A113" s="1880" t="s">
        <v>1958</v>
      </c>
    </row>
    <row r="115" s="5662" customFormat="1" customHeight="1" ht="15">
      <c r="A115" s="688"/>
      <c r="B115" s="689"/>
      <c r="C115" s="689"/>
      <c r="D115" s="2643" t="s">
        <v>112</v>
      </c>
      <c r="E115" s="2442" t="s">
        <v>108</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629</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662" customFormat="1" customHeight="1" ht="15">
      <c r="A116" s="688"/>
      <c r="B116" s="689"/>
      <c r="C116" s="689"/>
      <c r="D116" s="2644"/>
      <c r="E116" s="2442" t="s">
        <v>584</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662" customFormat="1" customHeight="1" ht="15">
      <c r="A117" s="688"/>
      <c r="B117" s="689"/>
      <c r="C117" s="689"/>
      <c r="D117" s="2644"/>
      <c r="E117" s="2442" t="s">
        <v>585</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662" customFormat="1" customHeight="1" ht="24.75">
      <c r="A118" s="1871"/>
      <c r="B118" s="1225"/>
      <c r="C118" s="477"/>
      <c r="D118" s="2644"/>
      <c r="E118" s="2441" t="s">
        <v>630</v>
      </c>
      <c r="F118" s="2441"/>
      <c r="G118" s="2441"/>
      <c r="H118" s="2441"/>
      <c r="I118" s="2441"/>
      <c r="J118" s="2441"/>
      <c r="K118" s="2441"/>
      <c r="L118" s="2441"/>
      <c r="M118" s="2441"/>
      <c r="N118" s="2441"/>
      <c r="O118" s="2441"/>
      <c r="P118" s="2441"/>
      <c r="Q118" s="623">
        <f>SUMIF(T119:T120,"i",Q119:Q120)</f>
        <v>0</v>
      </c>
      <c r="R118" s="1082"/>
      <c r="S118" s="1863" t="s">
        <v>631</v>
      </c>
      <c r="T118" s="782" t="s">
        <v>632</v>
      </c>
      <c r="U118" s="2439">
        <v>1</v>
      </c>
      <c r="V118" s="2439" t="s">
        <v>595</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662"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662" customFormat="1" customHeight="1" ht="11.25">
      <c r="A120" s="1871"/>
      <c r="B120" s="1225"/>
      <c r="C120" s="477"/>
      <c r="D120" s="2644"/>
      <c r="E120" s="714" t="s">
        <v>28</v>
      </c>
      <c r="F120" s="1233" t="s">
        <v>28</v>
      </c>
      <c r="G120" s="1233" t="s">
        <v>1959</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662" customFormat="1" customHeight="1" ht="24.75">
      <c r="A121" s="1871"/>
      <c r="B121" s="1225"/>
      <c r="C121" s="477"/>
      <c r="D121" s="2644"/>
      <c r="E121" s="2441" t="s">
        <v>633</v>
      </c>
      <c r="F121" s="2441"/>
      <c r="G121" s="2441"/>
      <c r="H121" s="2441"/>
      <c r="I121" s="2441"/>
      <c r="J121" s="2441"/>
      <c r="K121" s="2441"/>
      <c r="L121" s="2441"/>
      <c r="M121" s="2441"/>
      <c r="N121" s="2441"/>
      <c r="O121" s="2441"/>
      <c r="P121" s="2441"/>
      <c r="Q121" s="623">
        <f>SUMIF(T122:T123,"i",Q122:Q123)</f>
        <v>0</v>
      </c>
      <c r="R121" s="1082"/>
      <c r="S121" s="1863" t="s">
        <v>634</v>
      </c>
      <c r="T121" s="782" t="s">
        <v>632</v>
      </c>
      <c r="U121" s="2439">
        <v>1</v>
      </c>
      <c r="V121" s="2439" t="s">
        <v>595</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662"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662" customFormat="1" customHeight="1" ht="11.25">
      <c r="A123" s="1871"/>
      <c r="B123" s="1225"/>
      <c r="C123" s="477"/>
      <c r="D123" s="2645"/>
      <c r="E123" s="714" t="s">
        <v>28</v>
      </c>
      <c r="F123" s="1233" t="s">
        <v>28</v>
      </c>
      <c r="G123" s="1233" t="s">
        <v>1959</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5250" customFormat="1" customHeight="1" ht="11.25">
      <c r="A125" s="1880" t="s">
        <v>1960</v>
      </c>
    </row>
    <row r="127" s="5662" customFormat="1" customHeight="1" ht="15">
      <c r="A127" s="688"/>
      <c r="B127" s="689"/>
      <c r="C127" s="689"/>
      <c r="D127" s="2643" t="s">
        <v>112</v>
      </c>
      <c r="E127" s="2442" t="s">
        <v>108</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629</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662" customFormat="1" customHeight="1" ht="15">
      <c r="A128" s="688"/>
      <c r="B128" s="689"/>
      <c r="C128" s="689"/>
      <c r="D128" s="2644"/>
      <c r="E128" s="2442" t="s">
        <v>584</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662" customFormat="1" customHeight="1" ht="15">
      <c r="A129" s="688"/>
      <c r="B129" s="689"/>
      <c r="C129" s="689"/>
      <c r="D129" s="2644"/>
      <c r="E129" s="2442" t="s">
        <v>585</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662" customFormat="1" customHeight="1" ht="24.75">
      <c r="A130" s="1871"/>
      <c r="B130" s="1225"/>
      <c r="C130" s="477"/>
      <c r="D130" s="2644"/>
      <c r="E130" s="2441" t="s">
        <v>630</v>
      </c>
      <c r="F130" s="2441"/>
      <c r="G130" s="2441"/>
      <c r="H130" s="2441"/>
      <c r="I130" s="2441"/>
      <c r="J130" s="2441"/>
      <c r="K130" s="2441"/>
      <c r="L130" s="2441"/>
      <c r="M130" s="2441"/>
      <c r="N130" s="2441"/>
      <c r="O130" s="2441"/>
      <c r="P130" s="2441"/>
      <c r="Q130" s="623">
        <f>SUMIF(T131:T132,"i",Q131:Q132)</f>
        <v>0</v>
      </c>
      <c r="R130" s="1082"/>
      <c r="S130" s="1863" t="s">
        <v>631</v>
      </c>
      <c r="T130" s="782" t="s">
        <v>632</v>
      </c>
      <c r="U130" s="2439">
        <v>1</v>
      </c>
      <c r="V130" s="2439" t="s">
        <v>595</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662"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662" customFormat="1" customHeight="1" ht="11.25">
      <c r="A132" s="1871"/>
      <c r="B132" s="1225"/>
      <c r="C132" s="477"/>
      <c r="D132" s="2644"/>
      <c r="E132" s="714" t="s">
        <v>28</v>
      </c>
      <c r="F132" s="1233" t="s">
        <v>28</v>
      </c>
      <c r="G132" s="1233" t="s">
        <v>1959</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623"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632</v>
      </c>
      <c r="U133" s="2439">
        <v>1</v>
      </c>
      <c r="V133" s="2439" t="s">
        <v>595</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623"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623"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5250" customFormat="1" customHeight="1" ht="11.25">
      <c r="A137" s="1880" t="s">
        <v>1961</v>
      </c>
    </row>
    <row r="139" s="5662" customFormat="1" customHeight="1" ht="45">
      <c r="A139" s="1871"/>
      <c r="B139" s="1225"/>
      <c r="C139" s="477"/>
      <c r="D139" s="154"/>
      <c r="E139" s="2637"/>
      <c r="F139" s="2173" t="s">
        <v>112</v>
      </c>
      <c r="G139" s="2640" t="s">
        <v>28</v>
      </c>
      <c r="H139" s="354"/>
      <c r="I139" s="702" t="s">
        <v>112</v>
      </c>
      <c r="J139" s="1872" t="s">
        <v>1962</v>
      </c>
      <c r="K139" s="703" t="s">
        <v>566</v>
      </c>
      <c r="L139" s="2289" t="s">
        <v>566</v>
      </c>
      <c r="M139" s="2642"/>
      <c r="N139" s="703" t="s">
        <v>566</v>
      </c>
      <c r="O139" s="703" t="s">
        <v>566</v>
      </c>
      <c r="P139" s="703" t="s">
        <v>566</v>
      </c>
      <c r="Q139" s="704">
        <f>SUM(Q140:Q142)</f>
        <v>0</v>
      </c>
      <c r="R139" s="704">
        <f>IF(R136=0,0,(Q136/R136)*100)</f>
        <v>0</v>
      </c>
      <c r="S139" s="2244"/>
      <c r="T139" s="782" t="s">
        <v>632</v>
      </c>
      <c r="U139" s="154"/>
      <c r="V139" s="154"/>
      <c r="AC139" s="154"/>
    </row>
    <row s="5662" customFormat="1" customHeight="1" ht="11.25">
      <c r="A140" s="1871"/>
      <c r="B140" s="1225"/>
      <c r="C140" s="477"/>
      <c r="D140" s="154"/>
      <c r="E140" s="2638"/>
      <c r="F140" s="2173"/>
      <c r="G140" s="2640"/>
      <c r="H140" s="2192"/>
      <c r="I140" s="2580" t="s">
        <v>1041</v>
      </c>
      <c r="J140" s="2634"/>
      <c r="K140" s="2635"/>
      <c r="L140" s="705"/>
      <c r="M140" s="706" t="s">
        <v>112</v>
      </c>
      <c r="N140" s="1860"/>
      <c r="O140" s="707"/>
      <c r="P140" s="708"/>
      <c r="Q140" s="707"/>
      <c r="R140" s="709">
        <v>0</v>
      </c>
      <c r="S140" s="2244"/>
      <c r="T140" s="782"/>
      <c r="U140" s="154"/>
      <c r="V140" s="154"/>
      <c r="AC140" s="154"/>
    </row>
    <row s="5662" customFormat="1" customHeight="1" ht="11.25">
      <c r="A141" s="1871"/>
      <c r="B141" s="1225"/>
      <c r="C141" s="477"/>
      <c r="D141" s="154"/>
      <c r="E141" s="2638"/>
      <c r="F141" s="2173"/>
      <c r="G141" s="2640"/>
      <c r="H141" s="2192"/>
      <c r="I141" s="2580"/>
      <c r="J141" s="2634"/>
      <c r="K141" s="2636"/>
      <c r="L141" s="710"/>
      <c r="M141" s="711"/>
      <c r="N141" s="712" t="s">
        <v>1963</v>
      </c>
      <c r="O141" s="712"/>
      <c r="P141" s="712"/>
      <c r="Q141" s="712"/>
      <c r="R141" s="713"/>
      <c r="S141" s="2244"/>
      <c r="T141" s="782"/>
      <c r="U141" s="154"/>
      <c r="V141" s="154"/>
      <c r="AC141" s="154"/>
    </row>
    <row s="5662" customFormat="1" customHeight="1" ht="11.25">
      <c r="A142" s="1871"/>
      <c r="B142" s="1225"/>
      <c r="C142" s="477"/>
      <c r="D142" s="154"/>
      <c r="E142" s="2639"/>
      <c r="F142" s="2173"/>
      <c r="G142" s="2641"/>
      <c r="H142" s="710" t="s">
        <v>28</v>
      </c>
      <c r="I142" s="711"/>
      <c r="J142" s="712" t="s">
        <v>1964</v>
      </c>
      <c r="K142" s="712"/>
      <c r="L142" s="712"/>
      <c r="M142" s="712"/>
      <c r="N142" s="712"/>
      <c r="O142" s="712"/>
      <c r="P142" s="712"/>
      <c r="Q142" s="712"/>
      <c r="R142" s="713"/>
      <c r="S142" s="2244"/>
      <c r="T142" s="782"/>
      <c r="U142" s="154"/>
      <c r="V142" s="154"/>
      <c r="AC142" s="154"/>
    </row>
    <row r="147" s="5662" customFormat="1" customHeight="1" ht="11.25">
      <c r="A147" s="1871"/>
      <c r="B147" s="1225"/>
      <c r="C147" s="477"/>
      <c r="D147" s="154"/>
      <c r="E147" s="1895"/>
      <c r="F147" s="1895"/>
      <c r="G147" s="1895"/>
      <c r="H147" s="2192"/>
      <c r="I147" s="2580" t="s">
        <v>1041</v>
      </c>
      <c r="J147" s="2634"/>
      <c r="K147" s="2635"/>
      <c r="L147" s="705"/>
      <c r="M147" s="706" t="s">
        <v>112</v>
      </c>
      <c r="N147" s="1860"/>
      <c r="O147" s="707"/>
      <c r="P147" s="708"/>
      <c r="Q147" s="707"/>
      <c r="R147" s="709">
        <v>0</v>
      </c>
      <c r="S147" s="154"/>
      <c r="T147" s="782"/>
      <c r="U147" s="154"/>
      <c r="V147" s="154"/>
      <c r="AC147" s="154"/>
    </row>
    <row s="5662" customFormat="1" customHeight="1" ht="11.25">
      <c r="A148" s="1871"/>
      <c r="B148" s="1225"/>
      <c r="C148" s="477"/>
      <c r="D148" s="154"/>
      <c r="E148" s="1895"/>
      <c r="F148" s="1895"/>
      <c r="G148" s="1895"/>
      <c r="H148" s="2192"/>
      <c r="I148" s="2580"/>
      <c r="J148" s="2634"/>
      <c r="K148" s="2636"/>
      <c r="L148" s="710"/>
      <c r="M148" s="711"/>
      <c r="N148" s="712" t="s">
        <v>1963</v>
      </c>
      <c r="O148" s="712"/>
      <c r="P148" s="712"/>
      <c r="Q148" s="712"/>
      <c r="R148" s="713"/>
      <c r="S148" s="154"/>
      <c r="T148" s="782"/>
      <c r="U148" s="154"/>
      <c r="V148" s="154"/>
      <c r="AC148" s="154"/>
    </row>
    <row r="150" s="5662" customFormat="1" customHeight="1" ht="11.25">
      <c r="A150" s="1871"/>
      <c r="B150" s="1225"/>
      <c r="C150" s="477"/>
      <c r="D150" s="154"/>
      <c r="E150" s="1902"/>
      <c r="F150" s="1900"/>
      <c r="G150" s="1900"/>
      <c r="H150" s="1903"/>
      <c r="I150" s="1895"/>
      <c r="J150" s="1896"/>
      <c r="K150" s="1896"/>
      <c r="L150" s="705"/>
      <c r="M150" s="706" t="s">
        <v>112</v>
      </c>
      <c r="N150" s="1860"/>
      <c r="O150" s="707"/>
      <c r="P150" s="708"/>
      <c r="Q150" s="707"/>
      <c r="R150" s="709">
        <v>0</v>
      </c>
      <c r="S150" s="154"/>
      <c r="T150" s="782"/>
      <c r="U150" s="154"/>
      <c r="V150" s="154"/>
      <c r="AC150" s="154"/>
    </row>
    <row r="152" s="5250" customFormat="1" customHeight="1" ht="17.25">
      <c r="A152" s="1880" t="s">
        <v>1965</v>
      </c>
    </row>
    <row customHeight="1" ht="17.25">
      <c r="G153" s="1904"/>
      <c r="H153" s="1904"/>
      <c r="I153" s="1904"/>
      <c r="M153" s="1900"/>
    </row>
    <row s="5485" customFormat="1" customHeight="1" ht="17.25">
      <c r="A154" s="1905"/>
      <c r="C154" s="1907"/>
      <c r="D154" s="2594"/>
      <c r="E154" s="2208"/>
      <c r="F154" s="2210"/>
      <c r="G154" s="2596"/>
      <c r="H154" s="2594"/>
      <c r="I154" s="2594">
        <v>1</v>
      </c>
      <c r="J154" s="2566"/>
      <c r="K154" s="2250" t="s">
        <v>64</v>
      </c>
      <c r="L154" s="2173"/>
      <c r="M154" s="2173" t="s">
        <v>112</v>
      </c>
      <c r="N154" s="2569" t="str">
        <f>IF(Z154="","",INDEX(TERRITORY_MR_LIST,MATCH(Z154,TERRITORY_LIST_ID,0)))</f>
        <v/>
      </c>
      <c r="O154" s="2250" t="s">
        <v>64</v>
      </c>
      <c r="P154" s="2173"/>
      <c r="Q154" s="2173" t="s">
        <v>112</v>
      </c>
      <c r="R154" s="2567" t="s">
        <v>28</v>
      </c>
      <c r="S154" s="2172" t="s">
        <v>64</v>
      </c>
      <c r="T154" s="1876"/>
      <c r="U154" s="1876" t="s">
        <v>112</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485"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165</v>
      </c>
      <c r="W155" s="384"/>
      <c r="Y155" s="1324"/>
      <c r="Z155" s="1324"/>
      <c r="AA155" s="1324"/>
      <c r="AB155" s="1324"/>
      <c r="AC155" s="1324"/>
      <c r="AD155" s="1324"/>
      <c r="AE155" s="1324"/>
      <c r="AF155" s="1324"/>
      <c r="AG155" s="1324"/>
      <c r="AH155" s="1324"/>
      <c r="AI155" s="1324"/>
      <c r="AJ155" s="1324"/>
      <c r="AK155" s="1324"/>
    </row>
    <row s="5485" customFormat="1" customHeight="1" ht="17.25">
      <c r="A156" s="1905"/>
      <c r="C156" s="1910"/>
      <c r="D156" s="2568"/>
      <c r="E156" s="2595"/>
      <c r="F156" s="2211"/>
      <c r="G156" s="2597"/>
      <c r="H156" s="2568"/>
      <c r="I156" s="2568"/>
      <c r="J156" s="2598"/>
      <c r="K156" s="2251"/>
      <c r="L156" s="2568"/>
      <c r="M156" s="2568"/>
      <c r="N156" s="2570"/>
      <c r="O156" s="2177"/>
      <c r="P156" s="382"/>
      <c r="Q156" s="383"/>
      <c r="R156" s="383" t="s">
        <v>166</v>
      </c>
      <c r="S156" s="1911"/>
      <c r="T156" s="1911"/>
      <c r="U156" s="1911"/>
      <c r="V156" s="1911"/>
      <c r="W156" s="384"/>
      <c r="Y156" s="1324"/>
      <c r="Z156" s="1324"/>
      <c r="AA156" s="1324"/>
      <c r="AB156" s="1324"/>
      <c r="AC156" s="1324"/>
      <c r="AD156" s="1324"/>
      <c r="AE156" s="1324"/>
      <c r="AF156" s="1324"/>
      <c r="AG156" s="1324"/>
      <c r="AH156" s="1324"/>
      <c r="AI156" s="1324"/>
      <c r="AJ156" s="1324"/>
      <c r="AK156" s="1324"/>
    </row>
    <row s="5485" customFormat="1" customHeight="1" ht="17.25">
      <c r="A157" s="1905"/>
      <c r="C157" s="1910"/>
      <c r="D157" s="2568"/>
      <c r="E157" s="2595"/>
      <c r="F157" s="2211"/>
      <c r="G157" s="2597"/>
      <c r="H157" s="2568"/>
      <c r="I157" s="2568"/>
      <c r="J157" s="2598"/>
      <c r="K157" s="2177"/>
      <c r="L157" s="382"/>
      <c r="M157" s="383"/>
      <c r="N157" s="383" t="s">
        <v>167</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485" customFormat="1" customHeight="1" ht="17.25">
      <c r="A158" s="1905"/>
      <c r="C158" s="1910"/>
      <c r="D158" s="2568"/>
      <c r="E158" s="2595"/>
      <c r="F158" s="2212"/>
      <c r="G158" s="2597"/>
      <c r="H158" s="382"/>
      <c r="I158" s="383"/>
      <c r="J158" s="383" t="s">
        <v>168</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485" customFormat="1" customHeight="1" ht="17.25">
      <c r="A160" s="1905"/>
      <c r="C160" s="1907"/>
      <c r="D160" s="1895"/>
      <c r="E160" s="1912"/>
      <c r="F160" s="1849"/>
      <c r="G160" s="1913"/>
      <c r="H160" s="2594"/>
      <c r="I160" s="2594">
        <v>1</v>
      </c>
      <c r="J160" s="2566"/>
      <c r="K160" s="2250" t="s">
        <v>64</v>
      </c>
      <c r="L160" s="2173"/>
      <c r="M160" s="2173" t="s">
        <v>112</v>
      </c>
      <c r="N160" s="2569" t="str">
        <f>IF(Z160="","",INDEX(TERRITORY_MR_LIST,MATCH(Z160,TERRITORY_LIST_ID,0)))</f>
        <v/>
      </c>
      <c r="O160" s="2250" t="s">
        <v>64</v>
      </c>
      <c r="P160" s="2173"/>
      <c r="Q160" s="2173" t="s">
        <v>112</v>
      </c>
      <c r="R160" s="2567" t="s">
        <v>28</v>
      </c>
      <c r="S160" s="2172" t="s">
        <v>64</v>
      </c>
      <c r="T160" s="1876"/>
      <c r="U160" s="1876" t="s">
        <v>112</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485"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165</v>
      </c>
      <c r="W161" s="384"/>
      <c r="Y161" s="1324"/>
      <c r="Z161" s="1324"/>
      <c r="AA161" s="1324"/>
      <c r="AB161" s="1324"/>
      <c r="AC161" s="1324"/>
      <c r="AD161" s="1324"/>
      <c r="AE161" s="1324"/>
      <c r="AF161" s="1324"/>
      <c r="AG161" s="1324"/>
      <c r="AH161" s="1324"/>
      <c r="AI161" s="1324"/>
      <c r="AJ161" s="1324"/>
      <c r="AK161" s="1324"/>
    </row>
    <row s="5485" customFormat="1" customHeight="1" ht="17.25">
      <c r="A162" s="1905"/>
      <c r="C162" s="1910"/>
      <c r="D162" s="1895"/>
      <c r="E162" s="1912"/>
      <c r="F162" s="1849"/>
      <c r="G162" s="1913"/>
      <c r="H162" s="2568"/>
      <c r="I162" s="2568"/>
      <c r="J162" s="2598"/>
      <c r="K162" s="2251"/>
      <c r="L162" s="2568"/>
      <c r="M162" s="2568"/>
      <c r="N162" s="2570"/>
      <c r="O162" s="2177"/>
      <c r="P162" s="382"/>
      <c r="Q162" s="383"/>
      <c r="R162" s="383" t="s">
        <v>166</v>
      </c>
      <c r="S162" s="1911"/>
      <c r="T162" s="1911"/>
      <c r="U162" s="1911"/>
      <c r="V162" s="1911"/>
      <c r="W162" s="384"/>
      <c r="Y162" s="1324"/>
      <c r="Z162" s="1324"/>
      <c r="AA162" s="1324"/>
      <c r="AB162" s="1324"/>
      <c r="AC162" s="1324"/>
      <c r="AD162" s="1324"/>
      <c r="AE162" s="1324"/>
      <c r="AF162" s="1324"/>
      <c r="AG162" s="1324"/>
      <c r="AH162" s="1324"/>
      <c r="AI162" s="1324"/>
      <c r="AJ162" s="1324"/>
      <c r="AK162" s="1324"/>
    </row>
    <row s="5485" customFormat="1" customHeight="1" ht="17.25">
      <c r="A163" s="1905"/>
      <c r="C163" s="1910"/>
      <c r="D163" s="1895"/>
      <c r="E163" s="1912"/>
      <c r="F163" s="1849"/>
      <c r="G163" s="1913"/>
      <c r="H163" s="2568"/>
      <c r="I163" s="2568"/>
      <c r="J163" s="2598"/>
      <c r="K163" s="2177"/>
      <c r="L163" s="382"/>
      <c r="M163" s="383"/>
      <c r="N163" s="383" t="s">
        <v>167</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485" customFormat="1" customHeight="1" ht="17.25">
      <c r="A165" s="1905"/>
      <c r="C165" s="1907"/>
      <c r="D165" s="1895"/>
      <c r="E165" s="1912"/>
      <c r="F165" s="1849"/>
      <c r="G165" s="1913"/>
      <c r="H165" s="1895"/>
      <c r="I165" s="1895"/>
      <c r="J165" s="1914"/>
      <c r="K165" s="1825"/>
      <c r="L165" s="2173"/>
      <c r="M165" s="2173" t="s">
        <v>112</v>
      </c>
      <c r="N165" s="2569" t="str">
        <f>IF(Z165="","",INDEX(TERRITORY_MR_LIST,MATCH(Z165,TERRITORY_LIST_ID,0)))</f>
        <v/>
      </c>
      <c r="O165" s="2250" t="s">
        <v>64</v>
      </c>
      <c r="P165" s="2173"/>
      <c r="Q165" s="2173" t="s">
        <v>112</v>
      </c>
      <c r="R165" s="2567" t="s">
        <v>28</v>
      </c>
      <c r="S165" s="2172" t="s">
        <v>64</v>
      </c>
      <c r="T165" s="1876"/>
      <c r="U165" s="1876" t="s">
        <v>112</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485"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165</v>
      </c>
      <c r="W166" s="384"/>
      <c r="Y166" s="1324"/>
      <c r="Z166" s="1324"/>
      <c r="AA166" s="1324"/>
      <c r="AB166" s="1324"/>
      <c r="AC166" s="1324"/>
      <c r="AD166" s="1324"/>
      <c r="AE166" s="1324"/>
      <c r="AF166" s="1324"/>
      <c r="AG166" s="1324"/>
      <c r="AH166" s="1324"/>
      <c r="AI166" s="1324"/>
      <c r="AJ166" s="1324"/>
      <c r="AK166" s="1324"/>
    </row>
    <row s="5485" customFormat="1" customHeight="1" ht="17.25">
      <c r="A167" s="1905"/>
      <c r="C167" s="1910"/>
      <c r="D167" s="1895"/>
      <c r="E167" s="1912"/>
      <c r="F167" s="1849"/>
      <c r="G167" s="1913"/>
      <c r="H167" s="1895"/>
      <c r="I167" s="1895"/>
      <c r="J167" s="1914"/>
      <c r="K167" s="1825"/>
      <c r="L167" s="2568"/>
      <c r="M167" s="2568"/>
      <c r="N167" s="2570"/>
      <c r="O167" s="2177"/>
      <c r="P167" s="382"/>
      <c r="Q167" s="383"/>
      <c r="R167" s="383" t="s">
        <v>166</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485" customFormat="1" customHeight="1" ht="17.25">
      <c r="A169" s="1905"/>
      <c r="C169" s="1907"/>
      <c r="D169" s="1895"/>
      <c r="E169" s="1912"/>
      <c r="F169" s="1849"/>
      <c r="G169" s="1913"/>
      <c r="H169" s="1895"/>
      <c r="I169" s="1895"/>
      <c r="J169" s="1914"/>
      <c r="K169" s="1825"/>
      <c r="L169" s="1821"/>
      <c r="M169" s="1821"/>
      <c r="N169" s="2113"/>
      <c r="O169" s="1852"/>
      <c r="P169" s="2173"/>
      <c r="Q169" s="2173" t="s">
        <v>112</v>
      </c>
      <c r="R169" s="2567" t="s">
        <v>28</v>
      </c>
      <c r="S169" s="2172" t="s">
        <v>64</v>
      </c>
      <c r="T169" s="1876"/>
      <c r="U169" s="1876" t="s">
        <v>112</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485"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165</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485"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112</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5250" customFormat="1" customHeight="1" ht="17.25">
      <c r="A174" s="1880" t="s">
        <v>1966</v>
      </c>
    </row>
    <row customHeight="1" ht="17.25">
      <c r="G175" s="1904"/>
      <c r="H175" s="1904"/>
      <c r="I175" s="1904"/>
      <c r="M175" s="1900"/>
    </row>
    <row s="5485" customFormat="1" customHeight="1" ht="17.25">
      <c r="A176" s="1905"/>
      <c r="C176" s="1907"/>
      <c r="D176" s="2594"/>
      <c r="E176" s="2208"/>
      <c r="F176" s="2210"/>
      <c r="G176" s="2596"/>
      <c r="H176" s="2594"/>
      <c r="I176" s="2594">
        <v>1</v>
      </c>
      <c r="J176" s="2566"/>
      <c r="K176" s="2250" t="s">
        <v>64</v>
      </c>
      <c r="L176" s="2173"/>
      <c r="M176" s="2173" t="s">
        <v>112</v>
      </c>
      <c r="N176" s="2569" t="str">
        <f>IF(Z176="","",INDEX(TERRITORY_MR_LIST,MATCH(Z176,TERRITORY_LIST_ID,0)))</f>
        <v/>
      </c>
      <c r="O176" s="2250" t="s">
        <v>64</v>
      </c>
      <c r="P176" s="2173"/>
      <c r="Q176" s="2173" t="s">
        <v>112</v>
      </c>
      <c r="R176" s="2567" t="s">
        <v>28</v>
      </c>
      <c r="S176" s="2471" t="s">
        <v>19</v>
      </c>
      <c r="T176" s="1867"/>
      <c r="U176" s="1867" t="s">
        <v>112</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485"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485" customFormat="1" customHeight="1" ht="17.25">
      <c r="A178" s="1905"/>
      <c r="C178" s="1910"/>
      <c r="D178" s="2568"/>
      <c r="E178" s="2595"/>
      <c r="F178" s="2211"/>
      <c r="G178" s="2597"/>
      <c r="H178" s="2568"/>
      <c r="I178" s="2568"/>
      <c r="J178" s="2598"/>
      <c r="K178" s="2251"/>
      <c r="L178" s="2568"/>
      <c r="M178" s="2568"/>
      <c r="N178" s="2570"/>
      <c r="O178" s="2177"/>
      <c r="P178" s="382"/>
      <c r="Q178" s="383"/>
      <c r="R178" s="383" t="s">
        <v>166</v>
      </c>
      <c r="S178" s="1911"/>
      <c r="T178" s="1911"/>
      <c r="U178" s="1911"/>
      <c r="V178" s="1911"/>
      <c r="W178" s="1498"/>
      <c r="Y178" s="1324"/>
      <c r="Z178" s="1324"/>
      <c r="AA178" s="1324"/>
      <c r="AB178" s="1324"/>
      <c r="AC178" s="1324"/>
      <c r="AD178" s="1324"/>
      <c r="AE178" s="1324"/>
      <c r="AF178" s="1324"/>
      <c r="AG178" s="1324"/>
      <c r="AH178" s="1324"/>
      <c r="AI178" s="1324"/>
      <c r="AJ178" s="1324"/>
      <c r="AK178" s="1324"/>
    </row>
    <row s="5485" customFormat="1" customHeight="1" ht="17.25">
      <c r="A179" s="1905"/>
      <c r="C179" s="1910"/>
      <c r="D179" s="2568"/>
      <c r="E179" s="2595"/>
      <c r="F179" s="2211"/>
      <c r="G179" s="2597"/>
      <c r="H179" s="2568"/>
      <c r="I179" s="2568"/>
      <c r="J179" s="2598"/>
      <c r="K179" s="2177"/>
      <c r="L179" s="382"/>
      <c r="M179" s="383"/>
      <c r="N179" s="383" t="s">
        <v>167</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485" customFormat="1" customHeight="1" ht="17.25">
      <c r="A180" s="1905"/>
      <c r="C180" s="1910"/>
      <c r="D180" s="2568"/>
      <c r="E180" s="2595"/>
      <c r="F180" s="2212"/>
      <c r="G180" s="2597"/>
      <c r="H180" s="382"/>
      <c r="I180" s="383"/>
      <c r="J180" s="383" t="s">
        <v>168</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485" customFormat="1" customHeight="1" ht="17.25">
      <c r="A182" s="1905"/>
      <c r="C182" s="1907"/>
      <c r="D182" s="1895"/>
      <c r="E182" s="1912"/>
      <c r="F182" s="1849"/>
      <c r="G182" s="1913"/>
      <c r="H182" s="2594"/>
      <c r="I182" s="2594">
        <v>1</v>
      </c>
      <c r="J182" s="2566"/>
      <c r="K182" s="2250" t="s">
        <v>64</v>
      </c>
      <c r="L182" s="2173"/>
      <c r="M182" s="2173" t="s">
        <v>112</v>
      </c>
      <c r="N182" s="2569" t="str">
        <f>IF(Z182="","",INDEX(TERRITORY_MR_LIST,MATCH(Z182,TERRITORY_LIST_ID,0)))</f>
        <v/>
      </c>
      <c r="O182" s="2250" t="s">
        <v>64</v>
      </c>
      <c r="P182" s="2173"/>
      <c r="Q182" s="2173" t="s">
        <v>112</v>
      </c>
      <c r="R182" s="2567" t="s">
        <v>28</v>
      </c>
      <c r="S182" s="2471" t="s">
        <v>19</v>
      </c>
      <c r="T182" s="1867"/>
      <c r="U182" s="1867" t="s">
        <v>112</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485"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485" customFormat="1" customHeight="1" ht="17.25">
      <c r="A184" s="1905"/>
      <c r="C184" s="1910"/>
      <c r="D184" s="1895"/>
      <c r="E184" s="1912"/>
      <c r="F184" s="1849"/>
      <c r="G184" s="1913"/>
      <c r="H184" s="2568"/>
      <c r="I184" s="2568"/>
      <c r="J184" s="2598"/>
      <c r="K184" s="2251"/>
      <c r="L184" s="2568"/>
      <c r="M184" s="2568"/>
      <c r="N184" s="2570"/>
      <c r="O184" s="2177"/>
      <c r="P184" s="382"/>
      <c r="Q184" s="383"/>
      <c r="R184" s="383" t="s">
        <v>166</v>
      </c>
      <c r="S184" s="1911"/>
      <c r="T184" s="1911"/>
      <c r="U184" s="1911"/>
      <c r="V184" s="1911"/>
      <c r="W184" s="1498"/>
      <c r="Y184" s="1324"/>
      <c r="Z184" s="1324"/>
      <c r="AA184" s="1324"/>
      <c r="AB184" s="1324"/>
      <c r="AC184" s="1324"/>
      <c r="AD184" s="1324"/>
      <c r="AE184" s="1324"/>
      <c r="AF184" s="1324"/>
      <c r="AG184" s="1324"/>
      <c r="AH184" s="1324"/>
      <c r="AI184" s="1324"/>
      <c r="AJ184" s="1324"/>
      <c r="AK184" s="1324"/>
    </row>
    <row s="5485" customFormat="1" customHeight="1" ht="17.25">
      <c r="A185" s="1905"/>
      <c r="C185" s="1910"/>
      <c r="D185" s="1895"/>
      <c r="E185" s="1912"/>
      <c r="F185" s="1849"/>
      <c r="G185" s="1913"/>
      <c r="H185" s="2568"/>
      <c r="I185" s="2568"/>
      <c r="J185" s="2598"/>
      <c r="K185" s="2177"/>
      <c r="L185" s="382"/>
      <c r="M185" s="383"/>
      <c r="N185" s="383" t="s">
        <v>167</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485" customFormat="1" customHeight="1" ht="17.25">
      <c r="A187" s="1905"/>
      <c r="C187" s="1907"/>
      <c r="D187" s="1895"/>
      <c r="E187" s="1912"/>
      <c r="F187" s="1849"/>
      <c r="G187" s="1913"/>
      <c r="H187" s="1895"/>
      <c r="I187" s="1895"/>
      <c r="J187" s="1916"/>
      <c r="K187" s="1913"/>
      <c r="L187" s="2173"/>
      <c r="M187" s="2173" t="s">
        <v>112</v>
      </c>
      <c r="N187" s="2569" t="str">
        <f>IF(Z187="","",INDEX(TERRITORY_MR_LIST,MATCH(Z187,TERRITORY_LIST_ID,0)))</f>
        <v/>
      </c>
      <c r="O187" s="2250" t="s">
        <v>64</v>
      </c>
      <c r="P187" s="2173"/>
      <c r="Q187" s="2173" t="s">
        <v>112</v>
      </c>
      <c r="R187" s="2567" t="s">
        <v>28</v>
      </c>
      <c r="S187" s="2471" t="s">
        <v>19</v>
      </c>
      <c r="T187" s="1867"/>
      <c r="U187" s="1867" t="s">
        <v>112</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485"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485" customFormat="1" customHeight="1" ht="17.25">
      <c r="A189" s="1905"/>
      <c r="C189" s="1910"/>
      <c r="D189" s="1895"/>
      <c r="E189" s="1912"/>
      <c r="F189" s="1849"/>
      <c r="G189" s="1913"/>
      <c r="H189" s="1895"/>
      <c r="I189" s="1895"/>
      <c r="J189" s="1916"/>
      <c r="K189" s="1913"/>
      <c r="L189" s="2568"/>
      <c r="M189" s="2568"/>
      <c r="N189" s="2570"/>
      <c r="O189" s="2177"/>
      <c r="P189" s="382"/>
      <c r="Q189" s="383"/>
      <c r="R189" s="383" t="s">
        <v>166</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485" customFormat="1" customHeight="1" ht="17.25">
      <c r="A191" s="1905"/>
      <c r="C191" s="1907"/>
      <c r="D191" s="1895"/>
      <c r="E191" s="1912"/>
      <c r="F191" s="1849"/>
      <c r="G191" s="1913"/>
      <c r="H191" s="1895"/>
      <c r="I191" s="1895"/>
      <c r="J191" s="1916"/>
      <c r="K191" s="1913"/>
      <c r="L191" s="1895"/>
      <c r="M191" s="1895"/>
      <c r="N191" s="2113"/>
      <c r="O191" s="1852"/>
      <c r="P191" s="2173"/>
      <c r="Q191" s="2173" t="s">
        <v>112</v>
      </c>
      <c r="R191" s="2567" t="s">
        <v>28</v>
      </c>
      <c r="S191" s="2471" t="s">
        <v>19</v>
      </c>
      <c r="T191" s="1867"/>
      <c r="U191" s="1867" t="s">
        <v>112</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485"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5250" customFormat="1" customHeight="1" ht="17.25">
      <c r="A200" s="1880" t="s">
        <v>1967</v>
      </c>
    </row>
    <row customHeight="1" ht="17.25">
      <c r="G201" s="1904"/>
      <c r="H201" s="1904"/>
      <c r="I201" s="1904"/>
      <c r="M201" s="1900"/>
    </row>
    <row s="5662" customFormat="1" customHeight="1" ht="15">
      <c r="D202" s="2588"/>
      <c r="E202" s="2264"/>
      <c r="F202" s="2264"/>
      <c r="G202" s="2250"/>
      <c r="H202" s="1629"/>
      <c r="I202" s="2592">
        <v>1</v>
      </c>
      <c r="J202" s="2566"/>
      <c r="K202" s="1644"/>
      <c r="L202" s="2250" t="s">
        <v>64</v>
      </c>
      <c r="M202" s="2250" t="s">
        <v>64</v>
      </c>
      <c r="N202" s="1629"/>
      <c r="O202" s="2173" t="s">
        <v>112</v>
      </c>
      <c r="P202" s="2582"/>
      <c r="Q202" s="1645"/>
      <c r="R202" s="2250" t="s">
        <v>64</v>
      </c>
      <c r="S202" s="2250" t="s">
        <v>64</v>
      </c>
      <c r="T202" s="1920"/>
      <c r="U202" s="2173" t="s">
        <v>112</v>
      </c>
      <c r="V202" s="2589" t="str">
        <f>IF(AK202="","",INDEX(TERRITORY_MR_LIST,MATCH(AK202,TERRITORY_LIST_ID,0)))</f>
        <v/>
      </c>
      <c r="W202" s="1646"/>
      <c r="X202" s="2250" t="s">
        <v>64</v>
      </c>
      <c r="Y202" s="2250" t="s">
        <v>19</v>
      </c>
      <c r="Z202" s="1629"/>
      <c r="AA202" s="2173" t="s">
        <v>112</v>
      </c>
      <c r="AB202" s="2591"/>
      <c r="AC202" s="1647"/>
      <c r="AD202" s="2250" t="s">
        <v>64</v>
      </c>
      <c r="AE202" s="2250" t="s">
        <v>19</v>
      </c>
      <c r="AF202" s="1627"/>
      <c r="AG202" s="1876" t="s">
        <v>112</v>
      </c>
      <c r="AH202" s="1637"/>
      <c r="AI202" s="1866"/>
    </row>
    <row s="5662"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1968</v>
      </c>
      <c r="AI203" s="2584"/>
    </row>
    <row s="5662"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1969</v>
      </c>
      <c r="AC204" s="2585"/>
      <c r="AD204" s="2585"/>
      <c r="AE204" s="2585"/>
      <c r="AF204" s="2585"/>
      <c r="AG204" s="2585"/>
      <c r="AH204" s="2585"/>
      <c r="AI204" s="2586"/>
    </row>
    <row s="5662"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106</v>
      </c>
      <c r="W205" s="2583"/>
      <c r="X205" s="2583"/>
      <c r="Y205" s="2583"/>
      <c r="Z205" s="2583"/>
      <c r="AA205" s="2583"/>
      <c r="AB205" s="2583"/>
      <c r="AC205" s="2583"/>
      <c r="AD205" s="2583"/>
      <c r="AE205" s="2583"/>
      <c r="AF205" s="2583"/>
      <c r="AG205" s="2583"/>
      <c r="AH205" s="2583"/>
      <c r="AI205" s="2584"/>
    </row>
    <row s="5662" customFormat="1" customHeight="1" ht="11.25">
      <c r="D206" s="2588"/>
      <c r="E206" s="2264"/>
      <c r="F206" s="2264"/>
      <c r="G206" s="2251"/>
      <c r="H206" s="1633"/>
      <c r="I206" s="2592"/>
      <c r="J206" s="2593"/>
      <c r="K206" s="1628"/>
      <c r="L206" s="2251"/>
      <c r="M206" s="2251"/>
      <c r="N206" s="1633"/>
      <c r="O206" s="1634"/>
      <c r="P206" s="2583" t="s">
        <v>1970</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361" customFormat="1" customHeight="1" ht="11.25">
      <c r="D207" s="2588"/>
      <c r="E207" s="2264"/>
      <c r="F207" s="2264"/>
      <c r="G207" s="2177"/>
      <c r="H207" s="1635"/>
      <c r="I207" s="1636"/>
      <c r="J207" s="2583" t="s">
        <v>168</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662"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662"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662"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662"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662"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3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4F075-3BBD-F423-4E2B-C2B9304501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47" width="43.140625"/>
    <col min="2" max="2" style="5547" width="43.140625" hidden="1"/>
    <col min="3" max="3" style="5547" width="43.140625"/>
    <col min="4" max="5" style="5547" width="36.421875" customWidth="1"/>
    <col min="6" max="8" style="5548" width="36.421875" customWidth="1"/>
  </cols>
  <sheetData>
    <row customHeight="1" ht="9">
      <c r="A1" s="911" t="s">
        <v>1971</v>
      </c>
      <c r="B1" s="911"/>
      <c r="C1" s="1047" t="s">
        <v>1972</v>
      </c>
      <c r="D1" s="1045" t="s">
        <v>827</v>
      </c>
      <c r="E1" s="1045" t="s">
        <v>873</v>
      </c>
      <c r="F1" s="1045" t="s">
        <v>926</v>
      </c>
      <c r="G1" s="1045" t="s">
        <v>913</v>
      </c>
      <c r="H1" s="1045" t="s">
        <v>1644</v>
      </c>
    </row>
    <row customHeight="1" ht="9">
      <c r="A2" s="1048" t="s">
        <v>1973</v>
      </c>
      <c r="B2" s="1048"/>
      <c r="C2" s="1049" t="str">
        <f>INDEX(TEMPLATE_NUMBER_FORM_LIST,MATCH(TEMPLATE_SPHERE,TEMPLATE_SPHERE_LIST,0))</f>
        <v>16</v>
      </c>
      <c r="D2" s="1048" t="s">
        <v>1495</v>
      </c>
      <c r="E2" s="1048" t="s">
        <v>152</v>
      </c>
      <c r="F2" s="1050" t="s">
        <v>152</v>
      </c>
      <c r="G2" s="1048" t="s">
        <v>152</v>
      </c>
      <c r="H2" s="1051"/>
    </row>
    <row customHeight="1" ht="63">
      <c r="A3" s="911"/>
      <c r="B3" s="911" t="s">
        <v>112</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1974</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1975</v>
      </c>
      <c r="B4" s="911" t="s">
        <v>113</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1976</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1977</v>
      </c>
    </row>
    <row customHeight="1" ht="117">
      <c r="A5" s="911" t="s">
        <v>1978</v>
      </c>
      <c r="B5" s="911" t="s">
        <v>93</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1979</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1980</v>
      </c>
    </row>
    <row customHeight="1" ht="90">
      <c r="A6" s="911" t="s">
        <v>1981</v>
      </c>
      <c r="B6" s="911" t="s">
        <v>94</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1982</v>
      </c>
      <c r="B7" s="911" t="s">
        <v>114</v>
      </c>
      <c r="C7" s="1049" t="str">
        <f>IF(TEMPLATE_SPHERE="HEAT",D7,E7)</f>
        <v>Форма 11. Информация о расходах на капитальный и текущий ремонт основных средств</v>
      </c>
      <c r="D7" s="911" t="s">
        <v>1983</v>
      </c>
      <c r="E7" s="911" t="s">
        <v>1984</v>
      </c>
      <c r="F7" s="1051"/>
      <c r="G7" s="1051"/>
      <c r="H7" s="1051"/>
    </row>
    <row customHeight="1" ht="108">
      <c r="A8" s="911" t="s">
        <v>1985</v>
      </c>
      <c r="B8" s="911" t="s">
        <v>95</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1186</v>
      </c>
      <c r="E8" s="911" t="s">
        <v>1986</v>
      </c>
      <c r="F8" s="1051"/>
      <c r="G8" s="1051"/>
      <c r="H8" s="1051"/>
    </row>
    <row customHeight="1" ht="99">
      <c r="A9" s="911" t="s">
        <v>1987</v>
      </c>
      <c r="B9" s="911"/>
      <c r="C9" s="911" t="s">
        <v>1988</v>
      </c>
      <c r="D9" s="911"/>
      <c r="E9" s="911"/>
      <c r="F9" s="1051"/>
      <c r="G9" s="1051"/>
      <c r="H9" s="1051"/>
    </row>
    <row customHeight="1" ht="126">
      <c r="A10" s="911" t="s">
        <v>1989</v>
      </c>
      <c r="B10" s="911"/>
      <c r="C10" s="911" t="s">
        <v>1990</v>
      </c>
      <c r="D10" s="911"/>
      <c r="E10" s="911"/>
      <c r="F10" s="1051"/>
      <c r="G10" s="1051"/>
      <c r="H10" s="1051"/>
    </row>
    <row customHeight="1" ht="108">
      <c r="A11" s="911" t="s">
        <v>1991</v>
      </c>
      <c r="B11" s="911"/>
      <c r="C11" s="911" t="s">
        <v>1992</v>
      </c>
      <c r="D11" s="911"/>
      <c r="E11" s="911"/>
      <c r="F11" s="1051"/>
      <c r="G11" s="1051"/>
      <c r="H11" s="1051"/>
    </row>
    <row customHeight="1" ht="54">
      <c r="A12" s="911" t="s">
        <v>1993</v>
      </c>
      <c r="B12" s="911"/>
      <c r="C12" s="911" t="s">
        <v>1994</v>
      </c>
      <c r="D12" s="911"/>
      <c r="E12" s="911"/>
      <c r="F12" s="1051"/>
      <c r="G12" s="1051"/>
      <c r="H12" s="1051"/>
    </row>
    <row customHeight="1" ht="45">
      <c r="A13" s="911" t="s">
        <v>1995</v>
      </c>
      <c r="B13" s="911"/>
      <c r="C13" s="911" t="s">
        <v>1996</v>
      </c>
      <c r="D13" s="911"/>
      <c r="E13" s="911"/>
      <c r="F13" s="1051"/>
      <c r="G13" s="1051"/>
      <c r="H13" s="1051"/>
    </row>
    <row customHeight="1" ht="117">
      <c r="A14" s="911" t="s">
        <v>1997</v>
      </c>
      <c r="B14" s="911"/>
      <c r="C14" s="911" t="s">
        <v>1998</v>
      </c>
      <c r="D14" s="911"/>
      <c r="E14" s="911"/>
      <c r="F14" s="1051"/>
      <c r="G14" s="1051"/>
      <c r="H14" s="1051"/>
    </row>
    <row customHeight="1" ht="117">
      <c r="A15" s="911" t="s">
        <v>1999</v>
      </c>
      <c r="B15" s="911"/>
      <c r="C15" s="911" t="s">
        <v>2000</v>
      </c>
      <c r="D15" s="911"/>
      <c r="E15" s="911"/>
      <c r="F15" s="1051"/>
      <c r="G15" s="1051"/>
      <c r="H15" s="1051"/>
    </row>
    <row customHeight="1" ht="63">
      <c r="A16" s="911" t="s">
        <v>2001</v>
      </c>
      <c r="B16" s="911"/>
      <c r="C16" s="911" t="s">
        <v>2002</v>
      </c>
      <c r="D16" s="911"/>
      <c r="E16" s="911"/>
      <c r="F16" s="1051"/>
      <c r="G16" s="1051"/>
      <c r="H16" s="1051"/>
    </row>
    <row customHeight="1" ht="54">
      <c r="A17" s="911" t="s">
        <v>2003</v>
      </c>
      <c r="B17" s="911"/>
      <c r="C17" s="1049" t="s">
        <v>2004</v>
      </c>
      <c r="D17" s="911"/>
      <c r="E17" s="911"/>
      <c r="F17" s="1051"/>
      <c r="G17" s="1051"/>
      <c r="H17" s="1051"/>
    </row>
    <row customHeight="1" ht="27">
      <c r="A18" s="911" t="s">
        <v>2005</v>
      </c>
      <c r="B18" s="911"/>
      <c r="C18" s="1049" t="s">
        <v>2006</v>
      </c>
      <c r="D18" s="911"/>
      <c r="E18" s="911"/>
      <c r="F18" s="1051"/>
      <c r="G18" s="1051"/>
      <c r="H18" s="1051"/>
    </row>
    <row customHeight="1" ht="54">
      <c r="A19" s="911" t="s">
        <v>2007</v>
      </c>
      <c r="B19" s="911"/>
      <c r="C19" s="1049" t="s">
        <v>2008</v>
      </c>
      <c r="D19" s="911"/>
      <c r="E19" s="911"/>
      <c r="F19" s="1051"/>
      <c r="G19" s="1051"/>
      <c r="H19" s="1051"/>
    </row>
    <row customHeight="1" ht="36">
      <c r="A20" s="911" t="s">
        <v>2009</v>
      </c>
      <c r="B20" s="911"/>
      <c r="C20" s="1049" t="s">
        <v>2010</v>
      </c>
      <c r="D20" s="911"/>
      <c r="E20" s="911"/>
      <c r="F20" s="1051"/>
      <c r="G20" s="1051"/>
      <c r="H20" s="1051"/>
    </row>
    <row customHeight="1" ht="36">
      <c r="A21" s="911" t="s">
        <v>2011</v>
      </c>
      <c r="B21" s="911"/>
      <c r="C21" s="1049" t="s">
        <v>2012</v>
      </c>
      <c r="D21" s="911"/>
      <c r="E21" s="911"/>
      <c r="F21" s="1051"/>
      <c r="G21" s="1051"/>
      <c r="H21" s="1051"/>
    </row>
    <row customHeight="1" ht="27">
      <c r="A22" s="911" t="s">
        <v>2013</v>
      </c>
      <c r="B22" s="911"/>
      <c r="C22" s="1049" t="s">
        <v>2014</v>
      </c>
      <c r="D22" s="911"/>
      <c r="E22" s="911"/>
      <c r="F22" s="1051"/>
      <c r="G22" s="1051"/>
      <c r="H22" s="1051"/>
    </row>
    <row customHeight="1" ht="36">
      <c r="A23" s="911" t="s">
        <v>2015</v>
      </c>
      <c r="B23" s="911"/>
      <c r="C23" s="1049" t="s">
        <v>2016</v>
      </c>
      <c r="D23" s="911"/>
      <c r="E23" s="911"/>
      <c r="F23" s="1051"/>
      <c r="G23" s="1051"/>
      <c r="H23" s="1051"/>
    </row>
    <row customHeight="1" ht="28.5">
      <c r="A24" s="911" t="s">
        <v>2017</v>
      </c>
      <c r="B24" s="911"/>
      <c r="C24" s="1049" t="s">
        <v>2018</v>
      </c>
      <c r="D24" s="911"/>
      <c r="E24" s="911"/>
      <c r="F24" s="1051"/>
      <c r="G24" s="1051"/>
      <c r="H24" s="1051"/>
    </row>
    <row customHeight="1" ht="36">
      <c r="A25" s="911" t="s">
        <v>2019</v>
      </c>
      <c r="B25" s="911"/>
      <c r="C25" s="1049" t="s">
        <v>2020</v>
      </c>
      <c r="D25" s="911"/>
      <c r="E25" s="911"/>
      <c r="F25" s="1051"/>
      <c r="G25" s="1051"/>
      <c r="H25" s="1051"/>
    </row>
    <row customHeight="1" ht="27">
      <c r="A26" s="911" t="s">
        <v>2021</v>
      </c>
      <c r="B26" s="911"/>
      <c r="C26" s="1049" t="s">
        <v>2022</v>
      </c>
      <c r="D26" s="911"/>
      <c r="E26" s="911"/>
      <c r="F26" s="1051"/>
      <c r="G26" s="1051"/>
      <c r="H26" s="1051"/>
    </row>
    <row customHeight="1" ht="36">
      <c r="A27" s="911" t="s">
        <v>2023</v>
      </c>
      <c r="B27" s="911"/>
      <c r="C27" s="1049" t="s">
        <v>2024</v>
      </c>
      <c r="D27" s="911"/>
      <c r="E27" s="911"/>
      <c r="F27" s="1051"/>
      <c r="G27" s="1051"/>
      <c r="H27" s="1051"/>
    </row>
    <row customHeight="1" ht="28.5">
      <c r="A28" s="911" t="s">
        <v>2025</v>
      </c>
      <c r="B28" s="911"/>
      <c r="C28" s="1049" t="s">
        <v>2026</v>
      </c>
      <c r="D28" s="911"/>
      <c r="E28" s="911"/>
      <c r="F28" s="1051"/>
      <c r="G28" s="1051"/>
      <c r="H28" s="1051"/>
    </row>
    <row customHeight="1" ht="126">
      <c r="A29" s="911" t="s">
        <v>2027</v>
      </c>
      <c r="B29" s="911" t="s">
        <v>1596</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2028</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2029</v>
      </c>
    </row>
    <row customHeight="1" ht="36">
      <c r="A30" s="911" t="s">
        <v>2030</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2031</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2032</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2033</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2034</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2035</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2036</v>
      </c>
    </row>
    <row customHeight="1" ht="9">
      <c r="A33" s="911"/>
      <c r="B33" s="911"/>
      <c r="C33" s="1049"/>
      <c r="D33" s="911"/>
      <c r="E33" s="911"/>
      <c r="F33" s="1051"/>
      <c r="G33" s="1051"/>
      <c r="H33" s="1051"/>
    </row>
    <row customHeight="1" ht="9">
      <c r="A34" s="911"/>
      <c r="B34" s="911" t="s">
        <v>102</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8483C7-3174-FA7E-62D7-0E6972BB4A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47" width="9.140625"/>
    <col min="3" max="7" style="5591" width="8.00390625" customWidth="1"/>
    <col min="8" max="12" style="5591" width="8.57421875" customWidth="1"/>
    <col min="13" max="14" style="5591" width="27.7109375" customWidth="1"/>
    <col min="15" max="19" style="5591" width="5.140625" customWidth="1"/>
    <col min="20" max="24" style="5591" width="27.7109375" customWidth="1"/>
    <col min="25" max="25" style="5592" width="1.8515625" customWidth="1"/>
    <col min="26" max="26" style="5547" width="27.7109375" customWidth="1"/>
    <col min="27" max="27" style="5593" width="27.7109375" customWidth="1"/>
    <col min="28" max="29" style="5547" width="27.7109375" customWidth="1"/>
    <col min="30" max="30" style="5547" width="3.8515625" customWidth="1"/>
    <col min="31" max="34" style="5547" width="9.140625"/>
  </cols>
  <sheetData>
    <row s="5549" customFormat="1" customHeight="1" ht="18">
      <c r="A1" s="963"/>
      <c r="B1" s="963"/>
      <c r="C1" s="963" t="s">
        <v>2037</v>
      </c>
      <c r="D1" s="963"/>
      <c r="E1" s="963"/>
      <c r="F1" s="963"/>
      <c r="G1" s="963"/>
      <c r="H1" s="963" t="s">
        <v>2038</v>
      </c>
      <c r="I1" s="963"/>
      <c r="J1" s="963"/>
      <c r="K1" s="963"/>
      <c r="L1" s="963"/>
      <c r="M1" s="963" t="s">
        <v>2039</v>
      </c>
      <c r="N1" s="963" t="s">
        <v>2040</v>
      </c>
      <c r="O1" s="2657" t="s">
        <v>2041</v>
      </c>
      <c r="P1" s="2657"/>
      <c r="Q1" s="2657"/>
      <c r="R1" s="2657"/>
      <c r="S1" s="2657"/>
      <c r="T1" s="2657" t="s">
        <v>2039</v>
      </c>
      <c r="U1" s="2657"/>
      <c r="V1" s="2657"/>
      <c r="W1" s="2657"/>
      <c r="X1" s="2657"/>
      <c r="Y1" s="1064"/>
      <c r="Z1" s="2657" t="s">
        <v>2042</v>
      </c>
      <c r="AA1" s="2657"/>
      <c r="AB1" s="2657"/>
      <c r="AC1" s="2657"/>
      <c r="AD1" s="2657"/>
    </row>
    <row customHeight="1" ht="18">
      <c r="A2" s="911"/>
      <c r="B2" s="911"/>
      <c r="C2" s="906" t="s">
        <v>827</v>
      </c>
      <c r="D2" s="906" t="s">
        <v>873</v>
      </c>
      <c r="E2" s="906" t="s">
        <v>926</v>
      </c>
      <c r="F2" s="906" t="s">
        <v>913</v>
      </c>
      <c r="G2" s="906" t="s">
        <v>1644</v>
      </c>
      <c r="H2" s="908"/>
      <c r="I2" s="908"/>
      <c r="J2" s="908"/>
      <c r="K2" s="908"/>
      <c r="L2" s="908"/>
      <c r="M2" s="908"/>
      <c r="N2" s="908"/>
      <c r="O2" s="906" t="s">
        <v>827</v>
      </c>
      <c r="P2" s="906" t="s">
        <v>873</v>
      </c>
      <c r="Q2" s="906" t="s">
        <v>913</v>
      </c>
      <c r="R2" s="906" t="s">
        <v>926</v>
      </c>
      <c r="S2" s="906" t="s">
        <v>1644</v>
      </c>
      <c r="T2" s="906" t="s">
        <v>827</v>
      </c>
      <c r="U2" s="906" t="s">
        <v>873</v>
      </c>
      <c r="V2" s="906" t="s">
        <v>913</v>
      </c>
      <c r="W2" s="906" t="s">
        <v>926</v>
      </c>
      <c r="X2" s="906" t="s">
        <v>1644</v>
      </c>
      <c r="Y2" s="906"/>
      <c r="Z2" s="906" t="s">
        <v>827</v>
      </c>
      <c r="AA2" s="915" t="s">
        <v>873</v>
      </c>
      <c r="AB2" s="906" t="s">
        <v>913</v>
      </c>
      <c r="AC2" s="906" t="s">
        <v>926</v>
      </c>
      <c r="AD2" s="906" t="s">
        <v>1644</v>
      </c>
    </row>
    <row customHeight="1" ht="162">
      <c r="A3" s="910" t="s">
        <v>26</v>
      </c>
      <c r="B3" s="910"/>
      <c r="C3" s="2661" t="s">
        <v>2043</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2044</v>
      </c>
      <c r="AA3" s="908" t="s">
        <v>2045</v>
      </c>
      <c r="AB3" s="911" t="s">
        <v>2046</v>
      </c>
      <c r="AC3" s="911" t="s">
        <v>2047</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1583</v>
      </c>
      <c r="D11" s="2664" t="s">
        <v>1579</v>
      </c>
      <c r="E11" s="2664" t="s">
        <v>1677</v>
      </c>
      <c r="F11" s="2664" t="s">
        <v>2048</v>
      </c>
      <c r="G11" s="2664"/>
      <c r="H11" s="963" t="s">
        <v>2049</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2050</v>
      </c>
      <c r="U11" s="908" t="s">
        <v>2051</v>
      </c>
      <c r="V11" s="908"/>
      <c r="W11" s="908"/>
      <c r="X11" s="908"/>
      <c r="Y11" s="1065"/>
      <c r="Z11" s="911" t="s">
        <v>2052</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2053</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2054</v>
      </c>
      <c r="U12" s="908" t="s">
        <v>2055</v>
      </c>
      <c r="V12" s="908"/>
      <c r="W12" s="908"/>
      <c r="X12" s="908"/>
      <c r="Y12" s="1065"/>
      <c r="Z12" s="911" t="s">
        <v>2056</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2057</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2058</v>
      </c>
      <c r="U13" s="909" t="s">
        <v>2059</v>
      </c>
      <c r="V13" s="909"/>
      <c r="W13" s="909"/>
      <c r="X13" s="908"/>
      <c r="Y13" s="1065"/>
      <c r="Z13" s="911" t="s">
        <v>2060</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2061</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2062</v>
      </c>
      <c r="AA14" s="914" t="s">
        <v>2062</v>
      </c>
      <c r="AB14" s="911"/>
      <c r="AC14" s="911"/>
      <c r="AD14" s="911"/>
    </row>
    <row customHeight="1" ht="108">
      <c r="A15" s="2658"/>
      <c r="B15" s="964">
        <v>5</v>
      </c>
      <c r="C15" s="2665"/>
      <c r="D15" s="2665"/>
      <c r="E15" s="2665"/>
      <c r="F15" s="2665"/>
      <c r="G15" s="2665"/>
      <c r="H15" s="2659" t="s">
        <v>2063</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2064</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2065</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2065</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1680</v>
      </c>
      <c r="B18" s="964">
        <v>1</v>
      </c>
      <c r="C18" s="908" t="s">
        <v>2049</v>
      </c>
      <c r="D18" s="1032" t="s">
        <v>2049</v>
      </c>
      <c r="E18" s="908" t="s">
        <v>2049</v>
      </c>
      <c r="F18" s="908" t="s">
        <v>2049</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2066</v>
      </c>
      <c r="U18" s="911" t="s">
        <v>2067</v>
      </c>
      <c r="V18" s="911" t="s">
        <v>2068</v>
      </c>
      <c r="W18" s="911" t="s">
        <v>2069</v>
      </c>
      <c r="X18" s="908"/>
      <c r="Y18" s="1065"/>
      <c r="Z18" s="911" t="s">
        <v>2070</v>
      </c>
      <c r="AA18" s="914" t="s">
        <v>2071</v>
      </c>
      <c r="AB18" s="914" t="s">
        <v>2071</v>
      </c>
      <c r="AC18" s="914" t="s">
        <v>2071</v>
      </c>
      <c r="AD18" s="911"/>
    </row>
    <row customHeight="1" ht="36">
      <c r="A19" s="910"/>
      <c r="B19" s="964">
        <v>2</v>
      </c>
      <c r="C19" s="908" t="s">
        <v>2053</v>
      </c>
      <c r="D19" s="1032" t="s">
        <v>2053</v>
      </c>
      <c r="E19" s="908" t="s">
        <v>2053</v>
      </c>
      <c r="F19" s="908" t="s">
        <v>2053</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2072</v>
      </c>
      <c r="U19" s="911" t="s">
        <v>2073</v>
      </c>
      <c r="V19" s="911" t="s">
        <v>2074</v>
      </c>
      <c r="W19" s="911" t="s">
        <v>2075</v>
      </c>
      <c r="X19" s="908"/>
      <c r="Y19" s="1065"/>
      <c r="Z19" s="911" t="s">
        <v>2076</v>
      </c>
      <c r="AA19" s="914" t="s">
        <v>2076</v>
      </c>
      <c r="AB19" s="914" t="s">
        <v>2076</v>
      </c>
      <c r="AC19" s="914" t="s">
        <v>2076</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728</v>
      </c>
      <c r="P20" s="1022" t="s">
        <v>728</v>
      </c>
      <c r="Q20" s="1022" t="s">
        <v>728</v>
      </c>
      <c r="R20" s="1022" t="s">
        <v>728</v>
      </c>
      <c r="S20" s="1022"/>
      <c r="T20" s="1029" t="s">
        <v>2077</v>
      </c>
      <c r="U20" s="911" t="s">
        <v>2078</v>
      </c>
      <c r="V20" s="911" t="s">
        <v>2079</v>
      </c>
      <c r="W20" s="911" t="s">
        <v>2080</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326</v>
      </c>
      <c r="P21" s="1022"/>
      <c r="Q21" s="1022"/>
      <c r="R21" s="1022"/>
      <c r="S21" s="1022"/>
      <c r="T21" s="1029" t="s">
        <v>2081</v>
      </c>
      <c r="U21" s="911"/>
      <c r="V21" s="911"/>
      <c r="W21" s="911"/>
      <c r="X21" s="908"/>
      <c r="Y21" s="1065"/>
      <c r="Z21" s="911" t="s">
        <v>2082</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326</v>
      </c>
      <c r="R22" s="1022"/>
      <c r="S22" s="1022"/>
      <c r="T22" s="1029"/>
      <c r="U22" s="911"/>
      <c r="V22" s="911" t="s">
        <v>2083</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329</v>
      </c>
      <c r="R23" s="1022"/>
      <c r="S23" s="1022"/>
      <c r="T23" s="1029"/>
      <c r="U23" s="911"/>
      <c r="V23" s="911" t="s">
        <v>2084</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748</v>
      </c>
      <c r="R24" s="1022"/>
      <c r="S24" s="1022"/>
      <c r="T24" s="1029"/>
      <c r="U24" s="911"/>
      <c r="V24" s="911" t="s">
        <v>2085</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329</v>
      </c>
      <c r="P25" s="1022" t="s">
        <v>326</v>
      </c>
      <c r="Q25" s="1022" t="s">
        <v>755</v>
      </c>
      <c r="R25" s="1022" t="s">
        <v>326</v>
      </c>
      <c r="S25" s="1022"/>
      <c r="T25" s="1029" t="s">
        <v>2086</v>
      </c>
      <c r="U25" s="911" t="s">
        <v>2086</v>
      </c>
      <c r="V25" s="911" t="s">
        <v>2086</v>
      </c>
      <c r="W25" s="911" t="s">
        <v>2086</v>
      </c>
      <c r="X25" s="908"/>
      <c r="Y25" s="1065"/>
      <c r="Z25" s="911"/>
      <c r="AA25" s="914"/>
      <c r="AB25" s="911"/>
      <c r="AC25" s="911"/>
      <c r="AD25" s="911"/>
    </row>
    <row customHeight="1" ht="18">
      <c r="A26" s="910"/>
      <c r="B26" s="964">
        <v>9</v>
      </c>
      <c r="C26" s="908" t="s">
        <v>672</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744</v>
      </c>
      <c r="P26" s="1022" t="s">
        <v>738</v>
      </c>
      <c r="Q26" s="1022" t="s">
        <v>2087</v>
      </c>
      <c r="R26" s="1022" t="s">
        <v>738</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2088</v>
      </c>
      <c r="V26" s="1029" t="s">
        <v>2088</v>
      </c>
      <c r="W26" s="1029" t="s">
        <v>2088</v>
      </c>
      <c r="X26" s="908"/>
      <c r="Y26" s="1065"/>
      <c r="Z26" s="911"/>
      <c r="AA26" s="914"/>
      <c r="AB26" s="911"/>
      <c r="AC26" s="911"/>
      <c r="AD26" s="911"/>
    </row>
    <row customHeight="1" ht="18">
      <c r="A27" s="910"/>
      <c r="B27" s="964">
        <v>10</v>
      </c>
      <c r="C27" s="908" t="s">
        <v>676</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746</v>
      </c>
      <c r="P27" s="1022" t="s">
        <v>740</v>
      </c>
      <c r="Q27" s="1022" t="s">
        <v>2089</v>
      </c>
      <c r="R27" s="1022" t="s">
        <v>740</v>
      </c>
      <c r="S27" s="1022"/>
      <c r="T27" s="1029" t="s">
        <v>2090</v>
      </c>
      <c r="U27" s="1029" t="s">
        <v>2090</v>
      </c>
      <c r="V27" s="1029" t="s">
        <v>2090</v>
      </c>
      <c r="W27" s="1029" t="s">
        <v>2090</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748</v>
      </c>
      <c r="P28" s="1022"/>
      <c r="Q28" s="1022"/>
      <c r="R28" s="1022"/>
      <c r="S28" s="1022"/>
      <c r="T28" s="1029" t="s">
        <v>2091</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755</v>
      </c>
      <c r="P29" s="1022" t="s">
        <v>329</v>
      </c>
      <c r="Q29" s="1022"/>
      <c r="R29" s="1022" t="s">
        <v>329</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2092</v>
      </c>
      <c r="V29" s="911"/>
      <c r="W29" s="911" t="s">
        <v>2092</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757</v>
      </c>
      <c r="P30" s="1022" t="s">
        <v>748</v>
      </c>
      <c r="Q30" s="1022" t="s">
        <v>757</v>
      </c>
      <c r="R30" s="1022" t="s">
        <v>748</v>
      </c>
      <c r="S30" s="1022"/>
      <c r="T30" s="1029" t="s">
        <v>2093</v>
      </c>
      <c r="U30" s="911" t="s">
        <v>2093</v>
      </c>
      <c r="V30" s="911" t="s">
        <v>2093</v>
      </c>
      <c r="W30" s="911" t="s">
        <v>2093</v>
      </c>
      <c r="X30" s="908"/>
      <c r="Y30" s="1065"/>
      <c r="Z30" s="911"/>
      <c r="AA30" s="914" t="s">
        <v>2094</v>
      </c>
      <c r="AB30" s="914" t="s">
        <v>2094</v>
      </c>
      <c r="AC30" s="914" t="s">
        <v>2094</v>
      </c>
      <c r="AD30" s="911"/>
    </row>
    <row customHeight="1" ht="18">
      <c r="A31" s="910"/>
      <c r="B31" s="964">
        <v>14</v>
      </c>
      <c r="C31" s="908" t="s">
        <v>2095</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2096</v>
      </c>
      <c r="P31" s="1022" t="s">
        <v>751</v>
      </c>
      <c r="Q31" s="1022" t="s">
        <v>2096</v>
      </c>
      <c r="R31" s="1022" t="s">
        <v>751</v>
      </c>
      <c r="S31" s="1022"/>
      <c r="T31" s="1030" t="s">
        <v>2097</v>
      </c>
      <c r="U31" s="911" t="s">
        <v>2097</v>
      </c>
      <c r="V31" s="911" t="s">
        <v>2097</v>
      </c>
      <c r="W31" s="911" t="s">
        <v>2097</v>
      </c>
      <c r="X31" s="908"/>
      <c r="Y31" s="1065"/>
      <c r="Z31" s="911"/>
      <c r="AA31" s="914"/>
      <c r="AB31" s="914"/>
      <c r="AC31" s="914"/>
      <c r="AD31" s="911"/>
    </row>
    <row customHeight="1" ht="36">
      <c r="A32" s="910"/>
      <c r="B32" s="964">
        <v>15</v>
      </c>
      <c r="C32" s="908" t="s">
        <v>2098</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2099</v>
      </c>
      <c r="P32" s="1022" t="s">
        <v>753</v>
      </c>
      <c r="Q32" s="1022" t="s">
        <v>2099</v>
      </c>
      <c r="R32" s="1022" t="s">
        <v>753</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2100</v>
      </c>
      <c r="V32" s="911" t="s">
        <v>2100</v>
      </c>
      <c r="W32" s="911" t="s">
        <v>2100</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759</v>
      </c>
      <c r="P33" s="1022" t="s">
        <v>755</v>
      </c>
      <c r="Q33" s="1022" t="s">
        <v>759</v>
      </c>
      <c r="R33" s="1022" t="s">
        <v>755</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2101</v>
      </c>
      <c r="V33" s="911" t="s">
        <v>2101</v>
      </c>
      <c r="W33" s="911" t="s">
        <v>2102</v>
      </c>
      <c r="X33" s="908"/>
      <c r="Y33" s="1065"/>
      <c r="Z33" s="911"/>
      <c r="AA33" s="914" t="s">
        <v>2103</v>
      </c>
      <c r="AB33" s="914" t="s">
        <v>2103</v>
      </c>
      <c r="AC33" s="914" t="s">
        <v>2103</v>
      </c>
      <c r="AD33" s="911"/>
    </row>
    <row customHeight="1" ht="27">
      <c r="A34" s="910"/>
      <c r="B34" s="964">
        <v>17</v>
      </c>
      <c r="C34" s="908" t="s">
        <v>2104</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2105</v>
      </c>
      <c r="P34" s="1022" t="s">
        <v>2087</v>
      </c>
      <c r="Q34" s="1022" t="s">
        <v>2105</v>
      </c>
      <c r="R34" s="1022" t="s">
        <v>2087</v>
      </c>
      <c r="S34" s="1022"/>
      <c r="T34" s="1031" t="s">
        <v>2106</v>
      </c>
      <c r="U34" s="911" t="s">
        <v>2106</v>
      </c>
      <c r="V34" s="911" t="s">
        <v>2106</v>
      </c>
      <c r="W34" s="911" t="s">
        <v>2107</v>
      </c>
      <c r="X34" s="908"/>
      <c r="Y34" s="1065"/>
      <c r="Z34" s="911"/>
      <c r="AA34" s="914"/>
      <c r="AB34" s="911"/>
      <c r="AC34" s="911"/>
      <c r="AD34" s="911"/>
    </row>
    <row customHeight="1" ht="45">
      <c r="A35" s="910"/>
      <c r="B35" s="964">
        <v>18</v>
      </c>
      <c r="C35" s="908" t="s">
        <v>2108</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2109</v>
      </c>
      <c r="P35" s="1022" t="s">
        <v>2089</v>
      </c>
      <c r="Q35" s="1022" t="s">
        <v>2109</v>
      </c>
      <c r="R35" s="1022" t="s">
        <v>2089</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2110</v>
      </c>
      <c r="V35" s="911" t="s">
        <v>2110</v>
      </c>
      <c r="W35" s="911" t="s">
        <v>2110</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761</v>
      </c>
      <c r="P36" s="1022" t="s">
        <v>757</v>
      </c>
      <c r="Q36" s="1022" t="s">
        <v>761</v>
      </c>
      <c r="R36" s="1022" t="s">
        <v>757</v>
      </c>
      <c r="S36" s="1022"/>
      <c r="T36" s="1029" t="s">
        <v>2111</v>
      </c>
      <c r="U36" s="911" t="s">
        <v>2111</v>
      </c>
      <c r="V36" s="911" t="s">
        <v>2111</v>
      </c>
      <c r="W36" s="911" t="s">
        <v>2111</v>
      </c>
      <c r="X36" s="908"/>
      <c r="Y36" s="1065"/>
      <c r="Z36" s="911"/>
      <c r="AA36" s="914"/>
      <c r="AB36" s="911"/>
      <c r="AC36" s="911"/>
      <c r="AD36" s="911"/>
    </row>
    <row customHeight="1" ht="18">
      <c r="A37" s="910"/>
      <c r="B37" s="964">
        <v>20</v>
      </c>
      <c r="C37" s="908" t="s">
        <v>2112</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2113</v>
      </c>
      <c r="P37" s="1022" t="s">
        <v>2096</v>
      </c>
      <c r="Q37" s="1022" t="s">
        <v>2113</v>
      </c>
      <c r="R37" s="1022" t="s">
        <v>2096</v>
      </c>
      <c r="S37" s="1022"/>
      <c r="T37" s="1029" t="s">
        <v>2114</v>
      </c>
      <c r="U37" s="911" t="s">
        <v>2114</v>
      </c>
      <c r="V37" s="911" t="s">
        <v>2114</v>
      </c>
      <c r="W37" s="911" t="s">
        <v>2114</v>
      </c>
      <c r="X37" s="908"/>
      <c r="Y37" s="1065"/>
      <c r="Z37" s="911"/>
      <c r="AA37" s="914"/>
      <c r="AB37" s="911"/>
      <c r="AC37" s="911"/>
      <c r="AD37" s="911"/>
    </row>
    <row customHeight="1" ht="18">
      <c r="A38" s="910"/>
      <c r="B38" s="964">
        <v>21</v>
      </c>
      <c r="C38" s="908" t="s">
        <v>2115</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2116</v>
      </c>
      <c r="P38" s="1022" t="s">
        <v>2099</v>
      </c>
      <c r="Q38" s="1022" t="s">
        <v>2116</v>
      </c>
      <c r="R38" s="1022" t="s">
        <v>2099</v>
      </c>
      <c r="S38" s="1022"/>
      <c r="T38" s="1029" t="s">
        <v>2117</v>
      </c>
      <c r="U38" s="911" t="s">
        <v>2117</v>
      </c>
      <c r="V38" s="911" t="s">
        <v>2117</v>
      </c>
      <c r="W38" s="911" t="s">
        <v>2117</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765</v>
      </c>
      <c r="P39" s="1022" t="s">
        <v>759</v>
      </c>
      <c r="Q39" s="1022" t="s">
        <v>765</v>
      </c>
      <c r="R39" s="1022" t="s">
        <v>759</v>
      </c>
      <c r="S39" s="1022"/>
      <c r="T39" s="1029" t="s">
        <v>2118</v>
      </c>
      <c r="U39" s="911" t="s">
        <v>2119</v>
      </c>
      <c r="V39" s="911" t="s">
        <v>2120</v>
      </c>
      <c r="W39" s="911" t="s">
        <v>2121</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2122</v>
      </c>
      <c r="P40" s="1022" t="s">
        <v>761</v>
      </c>
      <c r="Q40" s="1022" t="s">
        <v>2122</v>
      </c>
      <c r="R40" s="1022" t="s">
        <v>761</v>
      </c>
      <c r="S40" s="1022"/>
      <c r="T40" s="908" t="s">
        <v>2123</v>
      </c>
      <c r="U40" s="908" t="s">
        <v>2123</v>
      </c>
      <c r="V40" s="908" t="s">
        <v>2123</v>
      </c>
      <c r="W40" s="908" t="s">
        <v>2123</v>
      </c>
      <c r="X40" s="908"/>
      <c r="Y40" s="1065"/>
      <c r="Z40" s="911" t="s">
        <v>2124</v>
      </c>
      <c r="AA40" s="914" t="s">
        <v>2124</v>
      </c>
      <c r="AB40" s="914" t="s">
        <v>2124</v>
      </c>
      <c r="AC40" s="914" t="s">
        <v>2124</v>
      </c>
      <c r="AD40" s="911"/>
    </row>
    <row customHeight="1" ht="27">
      <c r="A41" s="910"/>
      <c r="B41" s="964">
        <v>24</v>
      </c>
      <c r="C41" s="908" t="s">
        <v>2125</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2126</v>
      </c>
      <c r="P41" s="1022" t="s">
        <v>2113</v>
      </c>
      <c r="Q41" s="1022" t="s">
        <v>2126</v>
      </c>
      <c r="R41" s="1022" t="s">
        <v>2113</v>
      </c>
      <c r="S41" s="1022"/>
      <c r="T41" s="908" t="s">
        <v>2127</v>
      </c>
      <c r="U41" s="908" t="s">
        <v>2127</v>
      </c>
      <c r="V41" s="908" t="s">
        <v>2127</v>
      </c>
      <c r="W41" s="908" t="s">
        <v>2127</v>
      </c>
      <c r="X41" s="908"/>
      <c r="Y41" s="1065"/>
      <c r="Z41" s="911" t="s">
        <v>2128</v>
      </c>
      <c r="AA41" s="911" t="s">
        <v>2128</v>
      </c>
      <c r="AB41" s="911" t="s">
        <v>2128</v>
      </c>
      <c r="AC41" s="911" t="s">
        <v>2128</v>
      </c>
      <c r="AD41" s="911"/>
    </row>
    <row customHeight="1" ht="27">
      <c r="A42" s="910"/>
      <c r="B42" s="964">
        <v>25</v>
      </c>
      <c r="C42" s="908" t="s">
        <v>2129</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2130</v>
      </c>
      <c r="P42" s="1022" t="s">
        <v>2116</v>
      </c>
      <c r="Q42" s="1022" t="s">
        <v>2130</v>
      </c>
      <c r="R42" s="1022" t="s">
        <v>2116</v>
      </c>
      <c r="S42" s="1022"/>
      <c r="T42" s="908" t="s">
        <v>2131</v>
      </c>
      <c r="U42" s="908" t="s">
        <v>2131</v>
      </c>
      <c r="V42" s="908" t="s">
        <v>2131</v>
      </c>
      <c r="W42" s="908" t="s">
        <v>2131</v>
      </c>
      <c r="X42" s="908"/>
      <c r="Y42" s="1065"/>
      <c r="Z42" s="911" t="s">
        <v>2132</v>
      </c>
      <c r="AA42" s="911" t="s">
        <v>2132</v>
      </c>
      <c r="AB42" s="911" t="s">
        <v>2132</v>
      </c>
      <c r="AC42" s="911" t="s">
        <v>2132</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2133</v>
      </c>
      <c r="P43" s="1022" t="s">
        <v>765</v>
      </c>
      <c r="Q43" s="1022" t="s">
        <v>2133</v>
      </c>
      <c r="R43" s="1022" t="s">
        <v>765</v>
      </c>
      <c r="S43" s="1022"/>
      <c r="T43" s="908" t="s">
        <v>2134</v>
      </c>
      <c r="U43" s="908" t="s">
        <v>2134</v>
      </c>
      <c r="V43" s="908" t="s">
        <v>2134</v>
      </c>
      <c r="W43" s="908" t="s">
        <v>2134</v>
      </c>
      <c r="X43" s="908"/>
      <c r="Y43" s="1065"/>
      <c r="Z43" s="911" t="s">
        <v>2135</v>
      </c>
      <c r="AA43" s="911" t="s">
        <v>2135</v>
      </c>
      <c r="AB43" s="911" t="s">
        <v>2135</v>
      </c>
      <c r="AC43" s="911" t="s">
        <v>2135</v>
      </c>
      <c r="AD43" s="911"/>
    </row>
    <row customHeight="1" ht="27">
      <c r="A44" s="910"/>
      <c r="B44" s="964">
        <v>27</v>
      </c>
      <c r="C44" s="908" t="s">
        <v>2136</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2137</v>
      </c>
      <c r="P44" s="1022" t="s">
        <v>2138</v>
      </c>
      <c r="Q44" s="1022" t="s">
        <v>2137</v>
      </c>
      <c r="R44" s="1022" t="s">
        <v>2138</v>
      </c>
      <c r="S44" s="1022"/>
      <c r="T44" s="908" t="s">
        <v>2127</v>
      </c>
      <c r="U44" s="908" t="s">
        <v>2127</v>
      </c>
      <c r="V44" s="908" t="s">
        <v>2127</v>
      </c>
      <c r="W44" s="908" t="s">
        <v>2127</v>
      </c>
      <c r="X44" s="908"/>
      <c r="Y44" s="1065"/>
      <c r="Z44" s="911" t="s">
        <v>2139</v>
      </c>
      <c r="AA44" s="911" t="s">
        <v>2139</v>
      </c>
      <c r="AB44" s="911" t="s">
        <v>2139</v>
      </c>
      <c r="AC44" s="911" t="s">
        <v>2139</v>
      </c>
      <c r="AD44" s="911"/>
    </row>
    <row customHeight="1" ht="27">
      <c r="A45" s="910"/>
      <c r="B45" s="964">
        <v>28</v>
      </c>
      <c r="C45" s="908" t="s">
        <v>2140</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2141</v>
      </c>
      <c r="P45" s="1022" t="s">
        <v>2142</v>
      </c>
      <c r="Q45" s="1022" t="s">
        <v>2141</v>
      </c>
      <c r="R45" s="1022" t="s">
        <v>2142</v>
      </c>
      <c r="S45" s="1022"/>
      <c r="T45" s="908" t="s">
        <v>2131</v>
      </c>
      <c r="U45" s="908" t="s">
        <v>2131</v>
      </c>
      <c r="V45" s="908" t="s">
        <v>2131</v>
      </c>
      <c r="W45" s="908" t="s">
        <v>2131</v>
      </c>
      <c r="X45" s="908"/>
      <c r="Y45" s="1065"/>
      <c r="Z45" s="911" t="s">
        <v>2143</v>
      </c>
      <c r="AA45" s="911" t="s">
        <v>2143</v>
      </c>
      <c r="AB45" s="911" t="s">
        <v>2143</v>
      </c>
      <c r="AC45" s="911" t="s">
        <v>2143</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2144</v>
      </c>
      <c r="P46" s="1022" t="s">
        <v>2122</v>
      </c>
      <c r="Q46" s="1022" t="s">
        <v>2144</v>
      </c>
      <c r="R46" s="1022" t="s">
        <v>2122</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2145</v>
      </c>
      <c r="V46" s="908" t="s">
        <v>2145</v>
      </c>
      <c r="W46" s="908" t="s">
        <v>2145</v>
      </c>
      <c r="X46" s="908"/>
      <c r="Y46" s="1065"/>
      <c r="Z46" s="911" t="s">
        <v>2146</v>
      </c>
      <c r="AA46" s="911" t="s">
        <v>2147</v>
      </c>
      <c r="AB46" s="911" t="s">
        <v>2147</v>
      </c>
      <c r="AC46" s="911" t="s">
        <v>2147</v>
      </c>
      <c r="AD46" s="911"/>
    </row>
    <row customHeight="1" ht="54">
      <c r="A47" s="910"/>
      <c r="B47" s="964">
        <v>30</v>
      </c>
      <c r="C47" s="908" t="s">
        <v>2148</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2149</v>
      </c>
      <c r="P47" s="1022" t="s">
        <v>2126</v>
      </c>
      <c r="Q47" s="1022" t="s">
        <v>2149</v>
      </c>
      <c r="R47" s="1022" t="s">
        <v>2126</v>
      </c>
      <c r="S47" s="1022"/>
      <c r="T47" s="908" t="s">
        <v>2150</v>
      </c>
      <c r="U47" s="908" t="s">
        <v>2150</v>
      </c>
      <c r="V47" s="908" t="s">
        <v>2150</v>
      </c>
      <c r="W47" s="908" t="s">
        <v>2150</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2133</v>
      </c>
      <c r="Q48" s="1022" t="s">
        <v>2151</v>
      </c>
      <c r="R48" s="1022" t="s">
        <v>2133</v>
      </c>
      <c r="S48" s="1022"/>
      <c r="T48" s="908"/>
      <c r="U48" s="908" t="s">
        <v>2152</v>
      </c>
      <c r="V48" s="908" t="s">
        <v>2153</v>
      </c>
      <c r="W48" s="908" t="s">
        <v>2153</v>
      </c>
      <c r="X48" s="908"/>
      <c r="Y48" s="1065"/>
      <c r="Z48" s="911"/>
      <c r="AA48" s="914" t="s">
        <v>2147</v>
      </c>
      <c r="AB48" s="914" t="s">
        <v>2147</v>
      </c>
      <c r="AC48" s="914" t="s">
        <v>2147</v>
      </c>
      <c r="AD48" s="911"/>
    </row>
    <row customHeight="1" ht="54">
      <c r="A49" s="910"/>
      <c r="B49" s="964">
        <v>32</v>
      </c>
      <c r="C49" s="908" t="s">
        <v>2154</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2137</v>
      </c>
      <c r="Q49" s="1022" t="s">
        <v>2155</v>
      </c>
      <c r="R49" s="1022" t="s">
        <v>2137</v>
      </c>
      <c r="S49" s="1022"/>
      <c r="T49" s="908"/>
      <c r="U49" s="908" t="s">
        <v>2150</v>
      </c>
      <c r="V49" s="908" t="s">
        <v>2150</v>
      </c>
      <c r="W49" s="908" t="s">
        <v>2150</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2151</v>
      </c>
      <c r="P50" s="1022" t="s">
        <v>2144</v>
      </c>
      <c r="Q50" s="1022" t="s">
        <v>2156</v>
      </c>
      <c r="R50" s="1022" t="s">
        <v>2144</v>
      </c>
      <c r="S50" s="1022"/>
      <c r="T50" s="908" t="s">
        <v>2157</v>
      </c>
      <c r="U50" s="908" t="s">
        <v>2158</v>
      </c>
      <c r="V50" s="908" t="s">
        <v>2159</v>
      </c>
      <c r="W50" s="908" t="s">
        <v>2160</v>
      </c>
      <c r="X50" s="908"/>
      <c r="Y50" s="1065"/>
      <c r="Z50" s="911" t="s">
        <v>2161</v>
      </c>
      <c r="AA50" s="914" t="s">
        <v>2162</v>
      </c>
      <c r="AB50" s="914" t="s">
        <v>2162</v>
      </c>
      <c r="AC50" s="914" t="s">
        <v>2162</v>
      </c>
      <c r="AD50" s="911"/>
    </row>
    <row customHeight="1" ht="27">
      <c r="A51" s="910"/>
      <c r="B51" s="964">
        <v>34</v>
      </c>
      <c r="C51" s="908" t="s">
        <v>2163</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93</v>
      </c>
      <c r="P51" s="1022"/>
      <c r="Q51" s="1022"/>
      <c r="R51" s="1022"/>
      <c r="S51" s="1022"/>
      <c r="T51" s="908" t="s">
        <v>2164</v>
      </c>
      <c r="U51" s="908"/>
      <c r="V51" s="908"/>
      <c r="W51" s="908"/>
      <c r="X51" s="908"/>
      <c r="Y51" s="1065"/>
      <c r="Z51" s="911"/>
      <c r="AA51" s="914"/>
      <c r="AB51" s="914"/>
      <c r="AC51" s="914"/>
      <c r="AD51" s="911"/>
    </row>
    <row customHeight="1" ht="36">
      <c r="A52" s="910"/>
      <c r="B52" s="964">
        <v>35</v>
      </c>
      <c r="C52" s="908" t="s">
        <v>2057</v>
      </c>
      <c r="D52" s="1032" t="s">
        <v>2057</v>
      </c>
      <c r="E52" s="908" t="s">
        <v>2057</v>
      </c>
      <c r="F52" s="908" t="s">
        <v>2057</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94</v>
      </c>
      <c r="P52" s="1022" t="s">
        <v>93</v>
      </c>
      <c r="Q52" s="1022" t="s">
        <v>93</v>
      </c>
      <c r="R52" s="1022" t="s">
        <v>93</v>
      </c>
      <c r="S52" s="1022"/>
      <c r="T52" s="908" t="s">
        <v>2165</v>
      </c>
      <c r="U52" s="908" t="s">
        <v>2166</v>
      </c>
      <c r="V52" s="908" t="s">
        <v>2167</v>
      </c>
      <c r="W52" s="908" t="s">
        <v>2168</v>
      </c>
      <c r="X52" s="908"/>
      <c r="Y52" s="1065"/>
      <c r="Z52" s="911" t="s">
        <v>769</v>
      </c>
      <c r="AA52" s="914" t="s">
        <v>769</v>
      </c>
      <c r="AB52" s="914" t="s">
        <v>769</v>
      </c>
      <c r="AC52" s="914" t="s">
        <v>769</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773</v>
      </c>
      <c r="P53" s="1022" t="s">
        <v>343</v>
      </c>
      <c r="Q53" s="1022" t="s">
        <v>343</v>
      </c>
      <c r="R53" s="1022" t="s">
        <v>343</v>
      </c>
      <c r="S53" s="1022"/>
      <c r="T53" s="908" t="s">
        <v>2169</v>
      </c>
      <c r="U53" s="908" t="s">
        <v>2169</v>
      </c>
      <c r="V53" s="908" t="s">
        <v>2169</v>
      </c>
      <c r="W53" s="908" t="s">
        <v>2169</v>
      </c>
      <c r="X53" s="908"/>
      <c r="Y53" s="1065"/>
      <c r="Z53" s="911"/>
      <c r="AA53" s="914"/>
      <c r="AB53" s="911"/>
      <c r="AC53" s="911"/>
      <c r="AD53" s="911"/>
    </row>
    <row customHeight="1" ht="18">
      <c r="A54" s="910"/>
      <c r="B54" s="964">
        <v>37</v>
      </c>
      <c r="C54" s="908" t="s">
        <v>2063</v>
      </c>
      <c r="D54" s="1032" t="s">
        <v>2063</v>
      </c>
      <c r="E54" s="908" t="s">
        <v>2063</v>
      </c>
      <c r="F54" s="908" t="s">
        <v>2063</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114</v>
      </c>
      <c r="P54" s="1022" t="s">
        <v>94</v>
      </c>
      <c r="Q54" s="1022" t="s">
        <v>94</v>
      </c>
      <c r="R54" s="1022" t="s">
        <v>94</v>
      </c>
      <c r="S54" s="1022"/>
      <c r="T54" s="908" t="s">
        <v>771</v>
      </c>
      <c r="U54" s="908" t="s">
        <v>771</v>
      </c>
      <c r="V54" s="908" t="s">
        <v>771</v>
      </c>
      <c r="W54" s="908" t="s">
        <v>771</v>
      </c>
      <c r="X54" s="908"/>
      <c r="Y54" s="1065"/>
      <c r="Z54" s="911" t="s">
        <v>772</v>
      </c>
      <c r="AA54" s="911" t="s">
        <v>772</v>
      </c>
      <c r="AB54" s="911" t="s">
        <v>772</v>
      </c>
      <c r="AC54" s="911" t="s">
        <v>772</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332</v>
      </c>
      <c r="P55" s="1022" t="s">
        <v>773</v>
      </c>
      <c r="Q55" s="1022" t="s">
        <v>773</v>
      </c>
      <c r="R55" s="1022" t="s">
        <v>773</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2170</v>
      </c>
      <c r="V55" s="908" t="s">
        <v>2170</v>
      </c>
      <c r="W55" s="908" t="s">
        <v>2170</v>
      </c>
      <c r="X55" s="908"/>
      <c r="Y55" s="1065"/>
      <c r="Z55" s="911" t="s">
        <v>2171</v>
      </c>
      <c r="AA55" s="911" t="s">
        <v>2171</v>
      </c>
      <c r="AB55" s="911" t="s">
        <v>2171</v>
      </c>
      <c r="AC55" s="911" t="s">
        <v>2171</v>
      </c>
      <c r="AD55" s="911"/>
    </row>
    <row customHeight="1" ht="27">
      <c r="A56" s="910"/>
      <c r="B56" s="964">
        <v>39</v>
      </c>
      <c r="C56" s="908" t="s">
        <v>1041</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1166</v>
      </c>
      <c r="P56" s="1022" t="s">
        <v>776</v>
      </c>
      <c r="Q56" s="1022" t="s">
        <v>776</v>
      </c>
      <c r="R56" s="1022" t="s">
        <v>776</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2172</v>
      </c>
      <c r="V56" s="908" t="s">
        <v>2172</v>
      </c>
      <c r="W56" s="908" t="s">
        <v>2172</v>
      </c>
      <c r="X56" s="908"/>
      <c r="Y56" s="1065"/>
      <c r="Z56" s="911" t="s">
        <v>778</v>
      </c>
      <c r="AA56" s="911" t="s">
        <v>778</v>
      </c>
      <c r="AB56" s="911" t="s">
        <v>778</v>
      </c>
      <c r="AC56" s="911" t="s">
        <v>778</v>
      </c>
      <c r="AD56" s="911"/>
    </row>
    <row customHeight="1" ht="27">
      <c r="A57" s="910"/>
      <c r="B57" s="964">
        <v>40</v>
      </c>
      <c r="C57" s="908" t="s">
        <v>1043</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2173</v>
      </c>
      <c r="P57" s="1022" t="s">
        <v>779</v>
      </c>
      <c r="Q57" s="1022" t="s">
        <v>779</v>
      </c>
      <c r="R57" s="1022" t="s">
        <v>779</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2174</v>
      </c>
      <c r="V57" s="908" t="s">
        <v>2174</v>
      </c>
      <c r="W57" s="908" t="s">
        <v>2174</v>
      </c>
      <c r="X57" s="908"/>
      <c r="Y57" s="1065"/>
      <c r="Z57" s="911" t="s">
        <v>781</v>
      </c>
      <c r="AA57" s="911" t="s">
        <v>781</v>
      </c>
      <c r="AB57" s="911" t="s">
        <v>781</v>
      </c>
      <c r="AC57" s="911" t="s">
        <v>781</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901</v>
      </c>
      <c r="P58" s="1022" t="s">
        <v>815</v>
      </c>
      <c r="Q58" s="1022" t="s">
        <v>815</v>
      </c>
      <c r="R58" s="1022" t="s">
        <v>815</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2175</v>
      </c>
      <c r="V58" s="908" t="s">
        <v>2175</v>
      </c>
      <c r="W58" s="908" t="s">
        <v>2175</v>
      </c>
      <c r="X58" s="908"/>
      <c r="Y58" s="1065"/>
      <c r="Z58" s="911"/>
      <c r="AA58" s="914"/>
      <c r="AB58" s="911"/>
      <c r="AC58" s="911"/>
      <c r="AD58" s="911"/>
    </row>
    <row customHeight="1" ht="36">
      <c r="A59" s="910"/>
      <c r="B59" s="964">
        <v>42</v>
      </c>
      <c r="C59" s="908">
        <v>3</v>
      </c>
      <c r="D59" s="1032" t="s">
        <v>2163</v>
      </c>
      <c r="E59" s="908" t="s">
        <v>2163</v>
      </c>
      <c r="F59" s="908" t="s">
        <v>2163</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114</v>
      </c>
      <c r="Q59" s="1022" t="s">
        <v>114</v>
      </c>
      <c r="R59" s="1022" t="s">
        <v>114</v>
      </c>
      <c r="S59" s="1022"/>
      <c r="T59" s="908"/>
      <c r="U59" s="908" t="s">
        <v>2176</v>
      </c>
      <c r="V59" s="908" t="s">
        <v>2177</v>
      </c>
      <c r="W59" s="908" t="s">
        <v>2178</v>
      </c>
      <c r="X59" s="908"/>
      <c r="Y59" s="1065"/>
      <c r="Z59" s="911"/>
      <c r="AA59" s="914"/>
      <c r="AB59" s="911"/>
      <c r="AC59" s="911"/>
      <c r="AD59" s="911"/>
    </row>
    <row customHeight="1" ht="81">
      <c r="A60" s="910"/>
      <c r="B60" s="964">
        <v>43</v>
      </c>
      <c r="C60" s="908" t="s">
        <v>2179</v>
      </c>
      <c r="D60" s="1032" t="s">
        <v>2179</v>
      </c>
      <c r="E60" s="908" t="s">
        <v>2179</v>
      </c>
      <c r="F60" s="908" t="s">
        <v>2179</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95</v>
      </c>
      <c r="P60" s="1022" t="s">
        <v>95</v>
      </c>
      <c r="Q60" s="1022" t="s">
        <v>95</v>
      </c>
      <c r="R60" s="1022" t="s">
        <v>95</v>
      </c>
      <c r="S60" s="1022"/>
      <c r="T60" s="908" t="s">
        <v>649</v>
      </c>
      <c r="U60" s="908" t="s">
        <v>649</v>
      </c>
      <c r="V60" s="908" t="s">
        <v>649</v>
      </c>
      <c r="W60" s="908" t="s">
        <v>649</v>
      </c>
      <c r="X60" s="908"/>
      <c r="Y60" s="1065"/>
      <c r="Z60" s="911" t="s">
        <v>2180</v>
      </c>
      <c r="AA60" s="914" t="s">
        <v>2181</v>
      </c>
      <c r="AB60" s="911" t="s">
        <v>2182</v>
      </c>
      <c r="AC60" s="911" t="s">
        <v>2181</v>
      </c>
      <c r="AD60" s="911"/>
    </row>
    <row customHeight="1" ht="9">
      <c r="A61" s="910"/>
      <c r="B61" s="964">
        <v>44</v>
      </c>
      <c r="C61" s="908"/>
      <c r="D61" s="1032" t="s">
        <v>2183</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96</v>
      </c>
      <c r="Q61" s="1022"/>
      <c r="R61" s="1022"/>
      <c r="S61" s="1022"/>
      <c r="T61" s="908"/>
      <c r="U61" s="908" t="s">
        <v>2184</v>
      </c>
      <c r="V61" s="908"/>
      <c r="W61" s="908"/>
      <c r="X61" s="908"/>
      <c r="Y61" s="1065"/>
      <c r="Z61" s="911"/>
      <c r="AA61" s="914"/>
      <c r="AB61" s="911"/>
      <c r="AC61" s="911"/>
      <c r="AD61" s="911"/>
    </row>
    <row customHeight="1" ht="9">
      <c r="A62" s="910"/>
      <c r="B62" s="964">
        <v>45</v>
      </c>
      <c r="C62" s="908"/>
      <c r="D62" s="1032" t="s">
        <v>2185</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115</v>
      </c>
      <c r="Q62" s="1022"/>
      <c r="R62" s="1022"/>
      <c r="S62" s="1022"/>
      <c r="T62" s="908"/>
      <c r="U62" s="908" t="s">
        <v>2186</v>
      </c>
      <c r="V62" s="908"/>
      <c r="W62" s="908"/>
      <c r="X62" s="908"/>
      <c r="Y62" s="1065"/>
      <c r="Z62" s="911"/>
      <c r="AA62" s="914"/>
      <c r="AB62" s="911"/>
      <c r="AC62" s="911"/>
      <c r="AD62" s="911"/>
    </row>
    <row customHeight="1" ht="18">
      <c r="A63" s="910"/>
      <c r="B63" s="964">
        <v>46</v>
      </c>
      <c r="C63" s="908"/>
      <c r="D63" s="1032" t="s">
        <v>2187</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151</v>
      </c>
      <c r="Q63" s="1022"/>
      <c r="R63" s="1022"/>
      <c r="S63" s="1022"/>
      <c r="T63" s="908"/>
      <c r="U63" s="908" t="s">
        <v>2188</v>
      </c>
      <c r="V63" s="908"/>
      <c r="W63" s="908"/>
      <c r="X63" s="908"/>
      <c r="Y63" s="1065"/>
      <c r="Z63" s="911"/>
      <c r="AA63" s="914"/>
      <c r="AB63" s="911"/>
      <c r="AC63" s="911"/>
      <c r="AD63" s="911"/>
    </row>
    <row customHeight="1" ht="18">
      <c r="A64" s="910"/>
      <c r="B64" s="964">
        <v>47</v>
      </c>
      <c r="C64" s="908"/>
      <c r="D64" s="1032" t="s">
        <v>2189</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152</v>
      </c>
      <c r="Q64" s="1022"/>
      <c r="R64" s="1022"/>
      <c r="S64" s="1022"/>
      <c r="T64" s="908"/>
      <c r="U64" s="908" t="s">
        <v>2190</v>
      </c>
      <c r="V64" s="908"/>
      <c r="W64" s="908"/>
      <c r="X64" s="908"/>
      <c r="Y64" s="1065"/>
      <c r="Z64" s="911"/>
      <c r="AA64" s="914" t="s">
        <v>2191</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2104</v>
      </c>
      <c r="Q65" s="1022"/>
      <c r="R65" s="1022"/>
      <c r="S65" s="1022"/>
      <c r="T65" s="908"/>
      <c r="U65" s="908" t="s">
        <v>2192</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2108</v>
      </c>
      <c r="Q66" s="1022"/>
      <c r="R66" s="1022"/>
      <c r="S66" s="1022"/>
      <c r="T66" s="908"/>
      <c r="U66" s="908" t="s">
        <v>2193</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2194</v>
      </c>
      <c r="Q67" s="1022"/>
      <c r="R67" s="1022"/>
      <c r="S67" s="1022"/>
      <c r="T67" s="908"/>
      <c r="U67" s="908" t="s">
        <v>2195</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2196</v>
      </c>
      <c r="Q68" s="1022"/>
      <c r="R68" s="1022"/>
      <c r="S68" s="1022"/>
      <c r="T68" s="908"/>
      <c r="U68" s="908" t="s">
        <v>2197</v>
      </c>
      <c r="V68" s="908"/>
      <c r="W68" s="908"/>
      <c r="X68" s="908"/>
      <c r="Y68" s="1065"/>
      <c r="Z68" s="911"/>
      <c r="AA68" s="914"/>
      <c r="AB68" s="911"/>
      <c r="AC68" s="911"/>
      <c r="AD68" s="911"/>
    </row>
    <row customHeight="1" ht="9">
      <c r="A69" s="910"/>
      <c r="B69" s="964">
        <v>52</v>
      </c>
      <c r="C69" s="908"/>
      <c r="D69" s="1032" t="s">
        <v>2198</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153</v>
      </c>
      <c r="Q69" s="1022"/>
      <c r="R69" s="1022"/>
      <c r="S69" s="1022"/>
      <c r="T69" s="908"/>
      <c r="U69" s="908" t="s">
        <v>2199</v>
      </c>
      <c r="V69" s="908"/>
      <c r="W69" s="908"/>
      <c r="X69" s="908"/>
      <c r="Y69" s="1065"/>
      <c r="Z69" s="911"/>
      <c r="AA69" s="914"/>
      <c r="AB69" s="911"/>
      <c r="AC69" s="911"/>
      <c r="AD69" s="911"/>
    </row>
    <row customHeight="1" ht="27">
      <c r="A70" s="910"/>
      <c r="B70" s="964">
        <v>53</v>
      </c>
      <c r="C70" s="908"/>
      <c r="D70" s="1032"/>
      <c r="E70" s="908" t="s">
        <v>2183</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96</v>
      </c>
      <c r="R70" s="1022"/>
      <c r="S70" s="1022"/>
      <c r="T70" s="908"/>
      <c r="U70" s="908"/>
      <c r="V70" s="908" t="s">
        <v>2200</v>
      </c>
      <c r="W70" s="908"/>
      <c r="X70" s="908"/>
      <c r="Y70" s="1065"/>
      <c r="Z70" s="911"/>
      <c r="AA70" s="914"/>
      <c r="AB70" s="911"/>
      <c r="AC70" s="911"/>
      <c r="AD70" s="911"/>
    </row>
    <row customHeight="1" ht="36">
      <c r="A71" s="910"/>
      <c r="B71" s="964">
        <v>54</v>
      </c>
      <c r="C71" s="908"/>
      <c r="D71" s="1032"/>
      <c r="E71" s="908" t="s">
        <v>2185</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115</v>
      </c>
      <c r="R71" s="1022"/>
      <c r="S71" s="1022"/>
      <c r="T71" s="908"/>
      <c r="U71" s="908"/>
      <c r="V71" s="908" t="s">
        <v>2201</v>
      </c>
      <c r="W71" s="908"/>
      <c r="X71" s="908"/>
      <c r="Y71" s="1065"/>
      <c r="Z71" s="911"/>
      <c r="AA71" s="914"/>
      <c r="AB71" s="911"/>
      <c r="AC71" s="911"/>
      <c r="AD71" s="911"/>
    </row>
    <row customHeight="1" ht="27">
      <c r="A72" s="910"/>
      <c r="B72" s="964">
        <v>55</v>
      </c>
      <c r="C72" s="908"/>
      <c r="D72" s="1032"/>
      <c r="E72" s="908" t="s">
        <v>2187</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151</v>
      </c>
      <c r="R72" s="1022"/>
      <c r="S72" s="1022"/>
      <c r="T72" s="908"/>
      <c r="U72" s="908"/>
      <c r="V72" s="908" t="s">
        <v>2202</v>
      </c>
      <c r="W72" s="908"/>
      <c r="X72" s="908"/>
      <c r="Y72" s="1065"/>
      <c r="Z72" s="911"/>
      <c r="AA72" s="914"/>
      <c r="AB72" s="911"/>
      <c r="AC72" s="911"/>
      <c r="AD72" s="911"/>
    </row>
    <row customHeight="1" ht="36">
      <c r="A73" s="910"/>
      <c r="B73" s="964">
        <v>56</v>
      </c>
      <c r="C73" s="908"/>
      <c r="D73" s="1032"/>
      <c r="E73" s="908" t="s">
        <v>2189</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152</v>
      </c>
      <c r="R73" s="1022"/>
      <c r="S73" s="1022"/>
      <c r="T73" s="908"/>
      <c r="U73" s="908"/>
      <c r="V73" s="908" t="s">
        <v>2203</v>
      </c>
      <c r="W73" s="908"/>
      <c r="X73" s="908"/>
      <c r="Y73" s="1065"/>
      <c r="Z73" s="911"/>
      <c r="AA73" s="914"/>
      <c r="AB73" s="911"/>
      <c r="AC73" s="911"/>
      <c r="AD73" s="911"/>
    </row>
    <row customHeight="1" ht="18">
      <c r="A74" s="910"/>
      <c r="B74" s="964">
        <v>57</v>
      </c>
      <c r="C74" s="908"/>
      <c r="D74" s="1032"/>
      <c r="E74" s="908" t="s">
        <v>2198</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153</v>
      </c>
      <c r="R74" s="1022"/>
      <c r="S74" s="1022"/>
      <c r="T74" s="908"/>
      <c r="U74" s="908"/>
      <c r="V74" s="908" t="s">
        <v>2204</v>
      </c>
      <c r="W74" s="908"/>
      <c r="X74" s="908"/>
      <c r="Y74" s="1065"/>
      <c r="Z74" s="911"/>
      <c r="AA74" s="914"/>
      <c r="AB74" s="911"/>
      <c r="AC74" s="911"/>
      <c r="AD74" s="911"/>
    </row>
    <row customHeight="1" ht="18">
      <c r="A75" s="910"/>
      <c r="B75" s="964">
        <v>58</v>
      </c>
      <c r="C75" s="908"/>
      <c r="D75" s="1032"/>
      <c r="E75" s="908"/>
      <c r="F75" s="908" t="s">
        <v>2183</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96</v>
      </c>
      <c r="S75" s="1022"/>
      <c r="T75" s="908"/>
      <c r="U75" s="908"/>
      <c r="V75" s="908"/>
      <c r="W75" s="908" t="s">
        <v>2205</v>
      </c>
      <c r="X75" s="908"/>
      <c r="Y75" s="1065"/>
      <c r="Z75" s="911"/>
      <c r="AA75" s="914"/>
      <c r="AB75" s="911"/>
      <c r="AC75" s="911"/>
      <c r="AD75" s="911"/>
    </row>
    <row customHeight="1" ht="36">
      <c r="A76" s="910"/>
      <c r="B76" s="964">
        <v>59</v>
      </c>
      <c r="C76" s="908"/>
      <c r="D76" s="1032"/>
      <c r="E76" s="908"/>
      <c r="F76" s="908" t="s">
        <v>2185</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115</v>
      </c>
      <c r="S76" s="1022"/>
      <c r="T76" s="908"/>
      <c r="U76" s="908"/>
      <c r="V76" s="908"/>
      <c r="W76" s="908" t="s">
        <v>2206</v>
      </c>
      <c r="X76" s="908"/>
      <c r="Y76" s="1065"/>
      <c r="Z76" s="911"/>
      <c r="AA76" s="914"/>
      <c r="AB76" s="911"/>
      <c r="AC76" s="911"/>
      <c r="AD76" s="911"/>
    </row>
    <row customHeight="1" ht="18">
      <c r="A77" s="910"/>
      <c r="B77" s="964">
        <v>60</v>
      </c>
      <c r="C77" s="908"/>
      <c r="D77" s="1032"/>
      <c r="E77" s="908"/>
      <c r="F77" s="908" t="s">
        <v>2187</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151</v>
      </c>
      <c r="S77" s="1022"/>
      <c r="T77" s="908"/>
      <c r="U77" s="908"/>
      <c r="V77" s="908"/>
      <c r="W77" s="908" t="s">
        <v>2207</v>
      </c>
      <c r="X77" s="908"/>
      <c r="Y77" s="1065"/>
      <c r="Z77" s="911"/>
      <c r="AA77" s="914"/>
      <c r="AB77" s="911"/>
      <c r="AC77" s="911"/>
      <c r="AD77" s="911"/>
    </row>
    <row customHeight="1" ht="72">
      <c r="A78" s="910"/>
      <c r="B78" s="964">
        <v>61</v>
      </c>
      <c r="C78" s="908" t="s">
        <v>2183</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96</v>
      </c>
      <c r="P78" s="1022"/>
      <c r="Q78" s="1022"/>
      <c r="R78" s="1022"/>
      <c r="S78" s="1022"/>
      <c r="T78" s="908" t="s">
        <v>654</v>
      </c>
      <c r="U78" s="908"/>
      <c r="V78" s="908"/>
      <c r="W78" s="908"/>
      <c r="X78" s="908"/>
      <c r="Y78" s="1065"/>
      <c r="Z78" s="911" t="s">
        <v>2208</v>
      </c>
      <c r="AA78" s="914"/>
      <c r="AB78" s="911"/>
      <c r="AC78" s="911"/>
      <c r="AD78" s="911"/>
    </row>
    <row customHeight="1" ht="36">
      <c r="A79" s="910"/>
      <c r="B79" s="964">
        <v>62</v>
      </c>
      <c r="C79" s="908" t="s">
        <v>2185</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115</v>
      </c>
      <c r="P79" s="1022"/>
      <c r="Q79" s="1022"/>
      <c r="R79" s="1022"/>
      <c r="S79" s="1022"/>
      <c r="T79" s="908" t="s">
        <v>2209</v>
      </c>
      <c r="U79" s="908"/>
      <c r="V79" s="908"/>
      <c r="W79" s="908"/>
      <c r="X79" s="908"/>
      <c r="Y79" s="1065"/>
      <c r="Z79" s="911" t="s">
        <v>2210</v>
      </c>
      <c r="AA79" s="914"/>
      <c r="AB79" s="911"/>
      <c r="AC79" s="911"/>
      <c r="AD79" s="911"/>
    </row>
    <row customHeight="1" ht="45">
      <c r="A80" s="910"/>
      <c r="B80" s="964">
        <v>63</v>
      </c>
      <c r="C80" s="908" t="s">
        <v>2187</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151</v>
      </c>
      <c r="P80" s="1022"/>
      <c r="Q80" s="1022"/>
      <c r="R80" s="1022"/>
      <c r="S80" s="1022"/>
      <c r="T80" s="908" t="s">
        <v>2211</v>
      </c>
      <c r="U80" s="908"/>
      <c r="V80" s="908"/>
      <c r="W80" s="908"/>
      <c r="X80" s="908"/>
      <c r="Y80" s="1065"/>
      <c r="Z80" s="911" t="s">
        <v>2212</v>
      </c>
      <c r="AA80" s="914"/>
      <c r="AB80" s="911"/>
      <c r="AC80" s="911"/>
      <c r="AD80" s="911"/>
    </row>
    <row customHeight="1" ht="36">
      <c r="A81" s="910"/>
      <c r="B81" s="964">
        <v>64</v>
      </c>
      <c r="C81" s="908" t="s">
        <v>2189</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2095</v>
      </c>
      <c r="P81" s="1022"/>
      <c r="Q81" s="1022"/>
      <c r="R81" s="1022"/>
      <c r="S81" s="1022"/>
      <c r="T81" s="908" t="s">
        <v>2213</v>
      </c>
      <c r="U81" s="908"/>
      <c r="V81" s="908"/>
      <c r="W81" s="908"/>
      <c r="X81" s="908"/>
      <c r="Y81" s="1065"/>
      <c r="Z81" s="911" t="s">
        <v>2214</v>
      </c>
      <c r="AA81" s="914"/>
      <c r="AB81" s="911"/>
      <c r="AC81" s="911"/>
      <c r="AD81" s="911"/>
    </row>
    <row customHeight="1" ht="90">
      <c r="A82" s="910"/>
      <c r="B82" s="964">
        <v>65</v>
      </c>
      <c r="C82" s="908" t="s">
        <v>2198</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152</v>
      </c>
      <c r="P82" s="1022"/>
      <c r="Q82" s="1022"/>
      <c r="R82" s="1022"/>
      <c r="S82" s="1022"/>
      <c r="T82" s="908" t="s">
        <v>2215</v>
      </c>
      <c r="U82" s="908"/>
      <c r="V82" s="908"/>
      <c r="W82" s="908"/>
      <c r="X82" s="908"/>
      <c r="Y82" s="1065"/>
      <c r="Z82" s="911" t="s">
        <v>2216</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2104</v>
      </c>
      <c r="P83" s="1022"/>
      <c r="Q83" s="1022"/>
      <c r="R83" s="1022"/>
      <c r="S83" s="1022"/>
      <c r="T83" s="908" t="s">
        <v>2217</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2218</v>
      </c>
      <c r="P84" s="1022"/>
      <c r="Q84" s="1022"/>
      <c r="R84" s="1022"/>
      <c r="S84" s="1022"/>
      <c r="T84" s="908" t="s">
        <v>2219</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2108</v>
      </c>
      <c r="P85" s="1022"/>
      <c r="Q85" s="1022"/>
      <c r="R85" s="1022"/>
      <c r="S85" s="1022"/>
      <c r="T85" s="908" t="s">
        <v>2220</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2221</v>
      </c>
      <c r="P86" s="1022"/>
      <c r="Q86" s="1022"/>
      <c r="R86" s="1022"/>
      <c r="S86" s="1022"/>
      <c r="T86" s="908" t="s">
        <v>2222</v>
      </c>
      <c r="U86" s="908"/>
      <c r="V86" s="908"/>
      <c r="W86" s="908"/>
      <c r="X86" s="908"/>
      <c r="Y86" s="1065"/>
      <c r="Z86" s="911"/>
      <c r="AA86" s="914"/>
      <c r="AB86" s="911"/>
      <c r="AC86" s="911"/>
      <c r="AD86" s="911"/>
    </row>
    <row customHeight="1" ht="36">
      <c r="A87" s="910"/>
      <c r="B87" s="964">
        <v>70</v>
      </c>
      <c r="C87" s="908" t="s">
        <v>2223</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153</v>
      </c>
      <c r="P87" s="1022"/>
      <c r="Q87" s="1022"/>
      <c r="R87" s="1022"/>
      <c r="S87" s="1022"/>
      <c r="T87" s="908" t="s">
        <v>2224</v>
      </c>
      <c r="U87" s="908"/>
      <c r="V87" s="908"/>
      <c r="W87" s="908"/>
      <c r="X87" s="908"/>
      <c r="Y87" s="1065"/>
      <c r="Z87" s="911"/>
      <c r="AA87" s="914"/>
      <c r="AB87" s="911"/>
      <c r="AC87" s="911"/>
      <c r="AD87" s="911"/>
    </row>
    <row customHeight="1" ht="18">
      <c r="A88" s="910"/>
      <c r="B88" s="964">
        <v>71</v>
      </c>
      <c r="C88" s="908" t="s">
        <v>2225</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154</v>
      </c>
      <c r="P88" s="1022"/>
      <c r="Q88" s="1022"/>
      <c r="R88" s="1022"/>
      <c r="S88" s="1022"/>
      <c r="T88" s="908" t="s">
        <v>686</v>
      </c>
      <c r="U88" s="908"/>
      <c r="V88" s="908"/>
      <c r="W88" s="908"/>
      <c r="X88" s="908"/>
      <c r="Y88" s="1065"/>
      <c r="Z88" s="911"/>
      <c r="AA88" s="914"/>
      <c r="AB88" s="911"/>
      <c r="AC88" s="911"/>
      <c r="AD88" s="911"/>
    </row>
    <row customHeight="1" ht="18">
      <c r="A89" s="910"/>
      <c r="B89" s="964">
        <v>72</v>
      </c>
      <c r="C89" s="908" t="s">
        <v>2226</v>
      </c>
      <c r="D89" s="1032" t="s">
        <v>2223</v>
      </c>
      <c r="E89" s="908" t="s">
        <v>2223</v>
      </c>
      <c r="F89" s="908" t="s">
        <v>2189</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155</v>
      </c>
      <c r="P89" s="1022" t="s">
        <v>154</v>
      </c>
      <c r="Q89" s="1022" t="s">
        <v>154</v>
      </c>
      <c r="R89" s="1022" t="s">
        <v>152</v>
      </c>
      <c r="S89" s="1022"/>
      <c r="T89" s="908" t="s">
        <v>694</v>
      </c>
      <c r="U89" s="908" t="s">
        <v>694</v>
      </c>
      <c r="V89" s="908" t="s">
        <v>694</v>
      </c>
      <c r="W89" s="908" t="s">
        <v>694</v>
      </c>
      <c r="X89" s="908"/>
      <c r="Y89" s="1065"/>
      <c r="Z89" s="911"/>
      <c r="AA89" s="914"/>
      <c r="AB89" s="911"/>
      <c r="AC89" s="911"/>
      <c r="AD89" s="911"/>
    </row>
    <row customHeight="1" ht="27">
      <c r="A90" s="910"/>
      <c r="B90" s="964">
        <v>73</v>
      </c>
      <c r="C90" s="908" t="s">
        <v>2227</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156</v>
      </c>
      <c r="P90" s="1022"/>
      <c r="Q90" s="1022"/>
      <c r="R90" s="1022"/>
      <c r="S90" s="1022"/>
      <c r="T90" s="908" t="s">
        <v>696</v>
      </c>
      <c r="U90" s="908"/>
      <c r="V90" s="908"/>
      <c r="W90" s="908"/>
      <c r="X90" s="908"/>
      <c r="Y90" s="1065"/>
      <c r="Z90" s="911"/>
      <c r="AA90" s="914"/>
      <c r="AB90" s="911"/>
      <c r="AC90" s="911"/>
      <c r="AD90" s="911"/>
    </row>
    <row customHeight="1" ht="18">
      <c r="A91" s="910"/>
      <c r="B91" s="964">
        <v>74</v>
      </c>
      <c r="C91" s="908"/>
      <c r="D91" s="1032" t="s">
        <v>2225</v>
      </c>
      <c r="E91" s="908" t="s">
        <v>2225</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155</v>
      </c>
      <c r="Q91" s="1022" t="s">
        <v>155</v>
      </c>
      <c r="R91" s="1022"/>
      <c r="S91" s="1022"/>
      <c r="T91" s="908"/>
      <c r="U91" s="908" t="s">
        <v>2228</v>
      </c>
      <c r="V91" s="908" t="s">
        <v>2228</v>
      </c>
      <c r="W91" s="908"/>
      <c r="X91" s="908"/>
      <c r="Y91" s="1065"/>
      <c r="Z91" s="911"/>
      <c r="AA91" s="914"/>
      <c r="AB91" s="911"/>
      <c r="AC91" s="911"/>
      <c r="AD91" s="911"/>
    </row>
    <row customHeight="1" ht="27">
      <c r="A92" s="910"/>
      <c r="B92" s="964">
        <v>75</v>
      </c>
      <c r="C92" s="908"/>
      <c r="D92" s="1032" t="s">
        <v>2226</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156</v>
      </c>
      <c r="Q92" s="1022"/>
      <c r="R92" s="1022"/>
      <c r="S92" s="1022"/>
      <c r="T92" s="908"/>
      <c r="U92" s="908" t="s">
        <v>2229</v>
      </c>
      <c r="V92" s="908"/>
      <c r="W92" s="908"/>
      <c r="X92" s="908"/>
      <c r="Y92" s="1065"/>
      <c r="Z92" s="911"/>
      <c r="AA92" s="914" t="s">
        <v>2230</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2136</v>
      </c>
      <c r="Q93" s="1022"/>
      <c r="R93" s="1022"/>
      <c r="S93" s="1022"/>
      <c r="T93" s="908"/>
      <c r="U93" s="908" t="s">
        <v>2231</v>
      </c>
      <c r="V93" s="908"/>
      <c r="W93" s="908"/>
      <c r="X93" s="908"/>
      <c r="Y93" s="1065"/>
      <c r="Z93" s="911"/>
      <c r="AA93" s="914" t="s">
        <v>2232</v>
      </c>
      <c r="AB93" s="911"/>
      <c r="AC93" s="911"/>
      <c r="AD93" s="911"/>
    </row>
    <row customHeight="1" ht="45">
      <c r="A94" s="910"/>
      <c r="B94" s="964">
        <v>77</v>
      </c>
      <c r="C94" s="908"/>
      <c r="D94" s="1032" t="s">
        <v>2227</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1489</v>
      </c>
      <c r="Q94" s="1022"/>
      <c r="R94" s="1022"/>
      <c r="S94" s="1022"/>
      <c r="T94" s="908"/>
      <c r="U94" s="908" t="s">
        <v>2233</v>
      </c>
      <c r="V94" s="908"/>
      <c r="W94" s="908"/>
      <c r="X94" s="908"/>
      <c r="Y94" s="1065"/>
      <c r="Z94" s="911"/>
      <c r="AA94" s="914" t="s">
        <v>2234</v>
      </c>
      <c r="AB94" s="911"/>
      <c r="AC94" s="911"/>
      <c r="AD94" s="911"/>
    </row>
    <row customHeight="1" ht="99">
      <c r="A95" s="910"/>
      <c r="B95" s="964">
        <v>78</v>
      </c>
      <c r="C95" s="908" t="s">
        <v>2235</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1489</v>
      </c>
      <c r="P95" s="1022"/>
      <c r="Q95" s="1022"/>
      <c r="R95" s="1022"/>
      <c r="S95" s="1022"/>
      <c r="T95" s="908" t="s">
        <v>2236</v>
      </c>
      <c r="U95" s="908"/>
      <c r="V95" s="908"/>
      <c r="W95" s="908"/>
      <c r="X95" s="908"/>
      <c r="Y95" s="1065"/>
      <c r="Z95" s="911"/>
      <c r="AA95" s="914"/>
      <c r="AB95" s="911"/>
      <c r="AC95" s="911"/>
      <c r="AD95" s="911"/>
    </row>
    <row customHeight="1" ht="99">
      <c r="A96" s="910"/>
      <c r="B96" s="964">
        <v>79</v>
      </c>
      <c r="C96" s="908" t="s">
        <v>1179</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1495</v>
      </c>
      <c r="P96" s="1022"/>
      <c r="Q96" s="1022"/>
      <c r="R96" s="1022"/>
      <c r="S96" s="1022"/>
      <c r="T96" s="908" t="s">
        <v>2237</v>
      </c>
      <c r="U96" s="908"/>
      <c r="V96" s="908"/>
      <c r="W96" s="908"/>
      <c r="X96" s="908"/>
      <c r="Y96" s="1065"/>
      <c r="Z96" s="911" t="s">
        <v>2238</v>
      </c>
      <c r="AA96" s="914"/>
      <c r="AB96" s="911"/>
      <c r="AC96" s="911"/>
      <c r="AD96" s="911"/>
    </row>
    <row customHeight="1" ht="63">
      <c r="A97" s="910"/>
      <c r="B97" s="964">
        <v>80</v>
      </c>
      <c r="C97" s="908" t="s">
        <v>2239</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1507</v>
      </c>
      <c r="P97" s="1022"/>
      <c r="Q97" s="1022"/>
      <c r="R97" s="1022"/>
      <c r="S97" s="1022"/>
      <c r="T97" s="908" t="s">
        <v>2240</v>
      </c>
      <c r="U97" s="908"/>
      <c r="V97" s="908"/>
      <c r="W97" s="908"/>
      <c r="X97" s="908"/>
      <c r="Y97" s="1065"/>
      <c r="Z97" s="911" t="s">
        <v>2241</v>
      </c>
      <c r="AA97" s="914"/>
      <c r="AB97" s="911"/>
      <c r="AC97" s="911"/>
      <c r="AD97" s="911"/>
    </row>
    <row customHeight="1" ht="63">
      <c r="A98" s="910"/>
      <c r="B98" s="964">
        <v>81</v>
      </c>
      <c r="C98" s="908" t="s">
        <v>2242</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1521</v>
      </c>
      <c r="P98" s="1022"/>
      <c r="Q98" s="1022"/>
      <c r="R98" s="1022"/>
      <c r="S98" s="1022"/>
      <c r="T98" s="908" t="s">
        <v>2243</v>
      </c>
      <c r="U98" s="908"/>
      <c r="V98" s="908"/>
      <c r="W98" s="908"/>
      <c r="X98" s="908"/>
      <c r="Y98" s="1065"/>
      <c r="Z98" s="911" t="s">
        <v>2241</v>
      </c>
      <c r="AA98" s="914"/>
      <c r="AB98" s="911"/>
      <c r="AC98" s="911"/>
      <c r="AD98" s="911"/>
    </row>
    <row customHeight="1" ht="90">
      <c r="A99" s="910"/>
      <c r="B99" s="964">
        <v>82</v>
      </c>
      <c r="C99" s="908" t="s">
        <v>2244</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102</v>
      </c>
      <c r="P99" s="1022"/>
      <c r="Q99" s="1022"/>
      <c r="R99" s="1022"/>
      <c r="S99" s="1022"/>
      <c r="T99" s="908" t="s">
        <v>2245</v>
      </c>
      <c r="U99" s="908"/>
      <c r="V99" s="908"/>
      <c r="W99" s="908"/>
      <c r="X99" s="908"/>
      <c r="Y99" s="1065"/>
      <c r="Z99" s="911" t="s">
        <v>651</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2246</v>
      </c>
      <c r="P100" s="1022"/>
      <c r="Q100" s="1022"/>
      <c r="R100" s="1022"/>
      <c r="S100" s="1022"/>
      <c r="T100" s="908" t="s">
        <v>2247</v>
      </c>
      <c r="U100" s="908"/>
      <c r="V100" s="908"/>
      <c r="W100" s="908"/>
      <c r="X100" s="908"/>
      <c r="Y100" s="1065"/>
      <c r="Z100" s="911" t="s">
        <v>651</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2248</v>
      </c>
      <c r="P101" s="1022"/>
      <c r="Q101" s="1022"/>
      <c r="R101" s="1022"/>
      <c r="S101" s="1022"/>
      <c r="T101" s="908" t="s">
        <v>2249</v>
      </c>
      <c r="U101" s="908"/>
      <c r="V101" s="908"/>
      <c r="W101" s="908"/>
      <c r="X101" s="908"/>
      <c r="Y101" s="1065"/>
      <c r="Z101" s="911" t="s">
        <v>651</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1686</v>
      </c>
      <c r="B148" s="910"/>
      <c r="C148" s="908" t="s">
        <v>2250</v>
      </c>
      <c r="D148" s="908" t="s">
        <v>1588</v>
      </c>
      <c r="E148" s="908" t="s">
        <v>1688</v>
      </c>
      <c r="F148" s="908" t="s">
        <v>2251</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2252</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2253</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1690</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1693</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1698</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CD36A-B0BD-605D-0026-8C881E75515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903" width="10.57421875" hidden="1"/>
    <col min="2" max="2" style="4903" width="11.00390625" hidden="1" customWidth="1"/>
    <col min="3" max="3" style="4903" width="10.57421875" hidden="1"/>
    <col min="4" max="4" style="4903" width="11.8515625" hidden="1" customWidth="1"/>
    <col min="5" max="5" style="4903" width="12.28125" hidden="1" customWidth="1"/>
    <col min="6" max="8" style="4107" width="12.28125" hidden="1" customWidth="1"/>
    <col min="9" max="9" style="5625" width="3.00390625" customWidth="1"/>
    <col min="10" max="11" style="4943" width="3.00390625" customWidth="1"/>
    <col min="12" max="12" style="5599" width="12.00390625" customWidth="1"/>
    <col min="13" max="13" style="4921" width="31.00390625" customWidth="1"/>
    <col min="14" max="14" style="4921" width="1.00390625" customWidth="1"/>
    <col min="15" max="18" style="4921" width="24.00390625" customWidth="1"/>
    <col min="19" max="19" style="4921" width="11.00390625" customWidth="1"/>
    <col min="20" max="20" style="4921" width="3.7109375" customWidth="1"/>
    <col min="21" max="21" style="4921" width="11.00390625" customWidth="1"/>
    <col min="22" max="22" style="4921" width="8.57421875" customWidth="1"/>
    <col min="23" max="23" style="4921" width="4.00390625" customWidth="1"/>
    <col min="24" max="24" style="4921" width="115.00390625" customWidth="1"/>
    <col min="25" max="29" style="4423" width="10.00390625" customWidth="1"/>
    <col min="30" max="30" style="4921"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2254</v>
      </c>
      <c r="M5" s="2668"/>
      <c r="N5" s="2668"/>
      <c r="O5" s="2668"/>
      <c r="P5" s="2668"/>
      <c r="Q5" s="2668"/>
      <c r="R5" s="2668"/>
      <c r="S5" s="2668"/>
      <c r="T5" s="2668"/>
      <c r="U5" s="2668"/>
      <c r="V5" s="1308"/>
      <c r="AD5" s="1220">
        <v>64</v>
      </c>
    </row>
    <row customHeight="1" ht="14.699999999999998">
      <c r="J6" s="441"/>
      <c r="K6" s="441"/>
      <c r="L6" s="2669" t="str">
        <f>IF(org=0,"Не определено",org)</f>
        <v>Филиал ПАО "ОГК-2"-Ставропольская ГРЭС</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485"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Региональная тарифная комиссия Ставропольского края</v>
      </c>
      <c r="P8" s="2316"/>
      <c r="Q8" s="2316"/>
      <c r="R8" s="2316"/>
      <c r="S8" s="2316"/>
      <c r="T8" s="2316"/>
      <c r="U8" s="2316"/>
      <c r="V8" s="391"/>
      <c r="W8" s="391"/>
      <c r="X8" s="345"/>
      <c r="Y8" s="433"/>
      <c r="Z8" s="433"/>
      <c r="AA8" s="433"/>
      <c r="AB8" s="433"/>
      <c r="AC8" s="433"/>
      <c r="AD8" s="483">
        <v>46</v>
      </c>
    </row>
    <row s="5485" customFormat="1" customHeight="1" ht="24">
      <c r="A9" s="1433"/>
      <c r="B9" s="1433"/>
      <c r="C9" s="1433"/>
      <c r="D9" s="1433"/>
      <c r="E9" s="1433"/>
      <c r="F9" s="1433"/>
      <c r="G9" s="1433"/>
      <c r="H9" s="1433"/>
      <c r="L9" s="1341"/>
      <c r="M9" s="360" t="s">
        <v>439</v>
      </c>
      <c r="N9" s="369"/>
      <c r="O9" s="2316" t="str">
        <f>IF(TITLE_DATE_CHANGE_PERIOD="",IF(TITLE_DATE_PR="","",TITLE_DATE_PR),TITLE_DATE_CHANGE_PERIOD)</f>
        <v>45658.43366898148</v>
      </c>
      <c r="P9" s="2316"/>
      <c r="Q9" s="2316"/>
      <c r="R9" s="2316"/>
      <c r="S9" s="2316"/>
      <c r="T9" s="2316"/>
      <c r="U9" s="2316"/>
      <c r="V9" s="391"/>
      <c r="W9" s="391"/>
      <c r="X9" s="345"/>
      <c r="Y9" s="433"/>
      <c r="Z9" s="433"/>
      <c r="AA9" s="433"/>
      <c r="AB9" s="433"/>
      <c r="AC9" s="433"/>
      <c r="AD9" s="483">
        <v>23</v>
      </c>
    </row>
    <row s="5485" customFormat="1" customHeight="1" ht="24">
      <c r="A10" s="1433"/>
      <c r="B10" s="1433"/>
      <c r="C10" s="1433"/>
      <c r="D10" s="1433"/>
      <c r="E10" s="1433"/>
      <c r="F10" s="1433"/>
      <c r="G10" s="1433"/>
      <c r="H10" s="1433"/>
      <c r="L10" s="1315"/>
      <c r="M10" s="360" t="s">
        <v>440</v>
      </c>
      <c r="N10" s="369"/>
      <c r="O10" s="2316" t="str">
        <f>IF(TITLE_NUMBER_PR_CHANGE="",IF(TITLE_NUMBER_PR="","",TITLE_NUMBER_PR),TITLE_NUMBER_PR_CHANGE)</f>
        <v>71/2</v>
      </c>
      <c r="P10" s="2316"/>
      <c r="Q10" s="2316"/>
      <c r="R10" s="2316"/>
      <c r="S10" s="2316"/>
      <c r="T10" s="2316"/>
      <c r="U10" s="2316"/>
      <c r="V10" s="391"/>
      <c r="W10" s="391"/>
      <c r="X10" s="345"/>
      <c r="Y10" s="433"/>
      <c r="Z10" s="433"/>
      <c r="AA10" s="433"/>
      <c r="AB10" s="433"/>
      <c r="AC10" s="433"/>
      <c r="AD10" s="483">
        <v>23</v>
      </c>
    </row>
    <row s="5485" customFormat="1" customHeight="1" ht="24">
      <c r="A11" s="1433"/>
      <c r="B11" s="1433"/>
      <c r="C11" s="1433"/>
      <c r="D11" s="1433"/>
      <c r="E11" s="1433"/>
      <c r="F11" s="1433"/>
      <c r="G11" s="1433"/>
      <c r="H11" s="1433"/>
      <c r="L11" s="1315"/>
      <c r="M11" s="360" t="s">
        <v>44</v>
      </c>
      <c r="N11" s="369"/>
      <c r="O11" s="2316" t="str">
        <f>IF(TITLE_IST_PUB_CHANGE="",IF(TITLE_IST_PUB="","",TITLE_IST_PUB),TITLE_IST_PUB_CHANGE)</f>
        <v>Официальный интернет-портал правовой информации Ставропольского края</v>
      </c>
      <c r="P11" s="2316"/>
      <c r="Q11" s="2316"/>
      <c r="R11" s="2316"/>
      <c r="S11" s="2316"/>
      <c r="T11" s="2316"/>
      <c r="U11" s="2316"/>
      <c r="V11" s="391"/>
      <c r="W11" s="391"/>
      <c r="X11" s="345"/>
      <c r="Y11" s="433"/>
      <c r="Z11" s="433"/>
      <c r="AA11" s="433"/>
      <c r="AB11" s="433"/>
      <c r="AC11" s="433"/>
      <c r="AD11" s="483">
        <v>23</v>
      </c>
    </row>
    <row s="5485"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443</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319</v>
      </c>
      <c r="M14" s="2192"/>
      <c r="N14" s="2192"/>
      <c r="O14" s="2192"/>
      <c r="P14" s="2192"/>
      <c r="Q14" s="2192"/>
      <c r="R14" s="2192"/>
      <c r="S14" s="2192"/>
      <c r="T14" s="2192"/>
      <c r="U14" s="2192"/>
      <c r="V14" s="2192"/>
      <c r="W14" s="2192"/>
      <c r="X14" s="2192" t="s">
        <v>320</v>
      </c>
      <c r="AD14" s="1220">
        <v>14</v>
      </c>
    </row>
    <row customHeight="1" ht="14.699999999999998">
      <c r="J15" s="441"/>
      <c r="K15" s="441"/>
      <c r="L15" s="2338" t="s">
        <v>91</v>
      </c>
      <c r="M15" s="2274" t="s">
        <v>444</v>
      </c>
      <c r="N15" s="366"/>
      <c r="O15" s="2339" t="s">
        <v>2255</v>
      </c>
      <c r="P15" s="2340"/>
      <c r="Q15" s="2340"/>
      <c r="R15" s="2340"/>
      <c r="S15" s="2340"/>
      <c r="T15" s="2340"/>
      <c r="U15" s="2341"/>
      <c r="V15" s="2342" t="s">
        <v>446</v>
      </c>
      <c r="W15" s="2345" t="s">
        <v>1176</v>
      </c>
      <c r="X15" s="2192"/>
      <c r="AD15" s="1220">
        <v>14</v>
      </c>
    </row>
    <row customHeight="1" ht="35.699999999999996">
      <c r="J16" s="441"/>
      <c r="K16" s="441"/>
      <c r="L16" s="2338"/>
      <c r="M16" s="2274"/>
      <c r="N16" s="1096"/>
      <c r="O16" s="2325" t="s">
        <v>449</v>
      </c>
      <c r="P16" s="2325" t="s">
        <v>450</v>
      </c>
      <c r="Q16" s="2327" t="s">
        <v>451</v>
      </c>
      <c r="R16" s="2328"/>
      <c r="S16" s="2327" t="s">
        <v>467</v>
      </c>
      <c r="T16" s="2334"/>
      <c r="U16" s="2328"/>
      <c r="V16" s="2343"/>
      <c r="W16" s="2346"/>
      <c r="X16" s="2192"/>
      <c r="AD16" s="1220">
        <v>34</v>
      </c>
    </row>
    <row customHeight="1" ht="35.699999999999996">
      <c r="A17" s="1435" t="s">
        <v>137</v>
      </c>
      <c r="B17" s="1435" t="s">
        <v>138</v>
      </c>
      <c r="C17" s="1435" t="s">
        <v>139</v>
      </c>
      <c r="D17" s="1435" t="s">
        <v>140</v>
      </c>
      <c r="E17" s="1435"/>
      <c r="J17" s="441"/>
      <c r="K17" s="441"/>
      <c r="L17" s="2338"/>
      <c r="M17" s="2274"/>
      <c r="N17" s="367"/>
      <c r="O17" s="2326"/>
      <c r="P17" s="2326"/>
      <c r="Q17" s="1287" t="s">
        <v>460</v>
      </c>
      <c r="R17" s="1287" t="s">
        <v>461</v>
      </c>
      <c r="S17" s="1357" t="s">
        <v>462</v>
      </c>
      <c r="T17" s="2335" t="s">
        <v>463</v>
      </c>
      <c r="U17" s="2336"/>
      <c r="V17" s="2344"/>
      <c r="W17" s="2347"/>
      <c r="X17" s="2192"/>
      <c r="AD17" s="1220">
        <v>34</v>
      </c>
    </row>
    <row s="4094" customFormat="1" customHeight="1" ht="11.549999999999999">
      <c r="A18" s="1435"/>
      <c r="B18" s="1435"/>
      <c r="C18" s="1435"/>
      <c r="D18" s="1435"/>
      <c r="E18" s="1435"/>
      <c r="F18" s="1427"/>
      <c r="G18" s="1427"/>
      <c r="H18" s="1427"/>
      <c r="I18" s="1311"/>
      <c r="J18" s="1312"/>
      <c r="K18" s="1319">
        <v>1</v>
      </c>
      <c r="L18" s="1342" t="s">
        <v>112</v>
      </c>
      <c r="M18" s="1320" t="s">
        <v>113</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181</v>
      </c>
      <c r="B19" s="1428" t="s">
        <v>182</v>
      </c>
      <c r="C19" s="1428" t="s">
        <v>183</v>
      </c>
      <c r="D19" s="1428" t="s">
        <v>184</v>
      </c>
      <c r="E19" s="1428"/>
      <c r="F19" s="1430"/>
      <c r="G19" s="1430"/>
      <c r="H19" s="1430"/>
      <c r="I19" s="426"/>
      <c r="J19" s="425"/>
      <c r="K19" s="420"/>
      <c r="L19" s="1358">
        <f>INDEX(PT_DIFFERENTIATION_NUM_NTAR,MATCH(A19,PT_DIFFERENTIATION_NTAR_ID,0))</f>
        <v>1</v>
      </c>
      <c r="M19" s="363" t="s">
        <v>126</v>
      </c>
      <c r="N19" s="365"/>
      <c r="O19" s="2671" t="str">
        <f>INDEX(PT_DIFFERENTIATION_NTAR,MATCH(A19,PT_DIFFERENTIATION_NTAR_ID,0))</f>
        <v>Тариф на теплоноситель, поставляемый потребителям
</v>
      </c>
      <c r="P19" s="2671"/>
      <c r="Q19" s="2671"/>
      <c r="R19" s="2671"/>
      <c r="S19" s="2671"/>
      <c r="T19" s="2671"/>
      <c r="U19" s="2671"/>
      <c r="V19" s="2671"/>
      <c r="W19" s="2671"/>
      <c r="X19" s="1323" t="s">
        <v>415</v>
      </c>
      <c r="Z19" s="565"/>
      <c r="AA19" s="565" t="str">
        <f>IF(M19="","",M19)</f>
        <v>Наименование тарифа</v>
      </c>
      <c r="AB19" s="565"/>
      <c r="AC19" s="565"/>
      <c r="AD19" s="1220">
        <v>20</v>
      </c>
    </row>
    <row customHeight="1" ht="21">
      <c r="A20" s="1428" t="s">
        <v>181</v>
      </c>
      <c r="B20" s="1428" t="s">
        <v>182</v>
      </c>
      <c r="C20" s="1428" t="s">
        <v>183</v>
      </c>
      <c r="D20" s="1428" t="s">
        <v>184</v>
      </c>
      <c r="E20" s="1428"/>
      <c r="F20" s="1430"/>
      <c r="G20" s="1430"/>
      <c r="H20" s="1430"/>
      <c r="I20" s="1355"/>
      <c r="J20" s="417"/>
      <c r="K20" s="418"/>
      <c r="L20" s="1358" t="str">
        <f>INDEX(PT_DIFFERENTIATION_NUM_TER,MATCH(B19,PT_DIFFERENTIATION_TER_ID,0))</f>
        <v>1.1</v>
      </c>
      <c r="M20" s="373" t="s">
        <v>416</v>
      </c>
      <c r="N20" s="365"/>
      <c r="O20" s="2671" t="str">
        <f>INDEX(PT_DIFFERENTIATION_TER,MATCH(B19,PT_DIFFERENTIATION_TER_ID,0))</f>
        <v>без дифференциации</v>
      </c>
      <c r="P20" s="2671"/>
      <c r="Q20" s="2671"/>
      <c r="R20" s="2671"/>
      <c r="S20" s="2671"/>
      <c r="T20" s="2671"/>
      <c r="U20" s="2671"/>
      <c r="V20" s="2671"/>
      <c r="W20" s="2671"/>
      <c r="X20" s="1323" t="s">
        <v>417</v>
      </c>
      <c r="Z20" s="565"/>
      <c r="AA20" s="565" t="str">
        <f>IF(M20="","",M20)</f>
        <v>Территория действия тарифа</v>
      </c>
      <c r="AB20" s="565"/>
      <c r="AC20" s="565"/>
      <c r="AD20" s="1220">
        <v>20</v>
      </c>
    </row>
    <row customHeight="1" ht="24">
      <c r="A21" s="1428" t="s">
        <v>181</v>
      </c>
      <c r="B21" s="1428" t="s">
        <v>182</v>
      </c>
      <c r="C21" s="1428" t="s">
        <v>183</v>
      </c>
      <c r="D21" s="1428" t="s">
        <v>184</v>
      </c>
      <c r="E21" s="1428"/>
      <c r="F21" s="1430"/>
      <c r="G21" s="1430"/>
      <c r="H21" s="1430"/>
      <c r="I21" s="419"/>
      <c r="J21" s="417"/>
      <c r="K21" s="418"/>
      <c r="L21" s="1358" t="str">
        <f>INDEX(PT_DIFFERENTIATION_NUM_CS,MATCH(C19,PT_DIFFERENTIATION_CS_ID,0))</f>
        <v>1.1.1</v>
      </c>
      <c r="M21" s="374" t="s">
        <v>418</v>
      </c>
      <c r="N21" s="365"/>
      <c r="O21" s="2671" t="str">
        <f>INDEX(PT_DIFFERENTIATION_CS,MATCH(C19,PT_DIFFERENTIATION_CS_ID,0))</f>
        <v>без дифференциации</v>
      </c>
      <c r="P21" s="2671"/>
      <c r="Q21" s="2671"/>
      <c r="R21" s="2671"/>
      <c r="S21" s="2671"/>
      <c r="T21" s="2671"/>
      <c r="U21" s="2671"/>
      <c r="V21" s="2671"/>
      <c r="W21" s="2671"/>
      <c r="X21" s="1323" t="s">
        <v>419</v>
      </c>
      <c r="Z21" s="565"/>
      <c r="AA21" s="565" t="str">
        <f>IF(M21="","",M21)</f>
        <v>Наименование системы теплоснабжения </v>
      </c>
      <c r="AB21" s="565"/>
      <c r="AC21" s="565"/>
      <c r="AD21" s="1220">
        <v>23</v>
      </c>
    </row>
    <row customHeight="1" ht="21">
      <c r="A22" s="1428" t="s">
        <v>181</v>
      </c>
      <c r="B22" s="1428" t="s">
        <v>182</v>
      </c>
      <c r="C22" s="1428" t="s">
        <v>183</v>
      </c>
      <c r="D22" s="1428" t="s">
        <v>184</v>
      </c>
      <c r="E22" s="1428"/>
      <c r="F22" s="1430"/>
      <c r="G22" s="1430"/>
      <c r="H22" s="1430"/>
      <c r="I22" s="419"/>
      <c r="J22" s="417"/>
      <c r="K22" s="418"/>
      <c r="L22" s="1358" t="str">
        <f>INDEX(PT_DIFFERENTIATION_NUM_IST_TE,MATCH(D19,PT_DIFFERENTIATION_IST_TE_ID,0))</f>
        <v>1.1.1.1</v>
      </c>
      <c r="M22" s="375" t="s">
        <v>420</v>
      </c>
      <c r="N22" s="365"/>
      <c r="O22" s="2671" t="str">
        <f>INDEX(PT_DIFFERENTIATION_IST_TE,MATCH(D19,PT_DIFFERENTIATION_IST_TE_ID,0))</f>
        <v>без дифференциации</v>
      </c>
      <c r="P22" s="2671"/>
      <c r="Q22" s="2671"/>
      <c r="R22" s="2671"/>
      <c r="S22" s="2671"/>
      <c r="T22" s="2671"/>
      <c r="U22" s="2671"/>
      <c r="V22" s="2671"/>
      <c r="W22" s="2671"/>
      <c r="X22" s="1323" t="s">
        <v>421</v>
      </c>
      <c r="Z22" s="565"/>
      <c r="AA22" s="565" t="str">
        <f>IF(M22="","",M22)</f>
        <v>Источник тепловой энергии  </v>
      </c>
      <c r="AB22" s="565"/>
      <c r="AC22" s="565"/>
      <c r="AD22" s="1220">
        <v>20</v>
      </c>
    </row>
    <row customHeight="1" ht="96.75">
      <c r="A23" s="1428" t="s">
        <v>181</v>
      </c>
      <c r="B23" s="1428" t="s">
        <v>182</v>
      </c>
      <c r="C23" s="1428" t="s">
        <v>183</v>
      </c>
      <c r="D23" s="1428" t="s">
        <v>184</v>
      </c>
      <c r="E23" s="1428"/>
      <c r="F23" s="2672" t="str">
        <f>L22&amp;".1"</f>
        <v>1.1.1.1.1</v>
      </c>
      <c r="I23" s="2322">
        <v>1</v>
      </c>
      <c r="J23" s="1356"/>
      <c r="K23" s="421"/>
      <c r="L23" s="1358" t="str">
        <f>$F$23</f>
        <v>1.1.1.1.1</v>
      </c>
      <c r="M23" s="350" t="s">
        <v>423</v>
      </c>
      <c r="N23" s="365"/>
      <c r="O23" s="2370"/>
      <c r="P23" s="2370"/>
      <c r="Q23" s="2370"/>
      <c r="R23" s="2370"/>
      <c r="S23" s="2370"/>
      <c r="T23" s="2370"/>
      <c r="U23" s="2370"/>
      <c r="V23" s="2370"/>
      <c r="W23" s="2370"/>
      <c r="X23" s="1323" t="s">
        <v>424</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181</v>
      </c>
      <c r="B24" s="1428" t="s">
        <v>182</v>
      </c>
      <c r="C24" s="1428" t="s">
        <v>183</v>
      </c>
      <c r="D24" s="1428" t="s">
        <v>184</v>
      </c>
      <c r="E24" s="1428"/>
      <c r="F24" s="2672"/>
      <c r="G24" s="2282" t="str">
        <f>F23&amp;".1"</f>
        <v>1.1.1.1.1.1</v>
      </c>
      <c r="I24" s="2322"/>
      <c r="J24" s="2322">
        <v>1</v>
      </c>
      <c r="K24" s="422"/>
      <c r="L24" s="1358" t="str">
        <f>$G$24</f>
        <v>1.1.1.1.1.1</v>
      </c>
      <c r="M24" s="351" t="s">
        <v>426</v>
      </c>
      <c r="N24" s="365"/>
      <c r="O24" s="2310"/>
      <c r="P24" s="2311"/>
      <c r="Q24" s="2311"/>
      <c r="R24" s="2311"/>
      <c r="S24" s="2311"/>
      <c r="T24" s="2311"/>
      <c r="U24" s="2311"/>
      <c r="V24" s="2311"/>
      <c r="W24" s="2312"/>
      <c r="X24" s="1323" t="s">
        <v>427</v>
      </c>
      <c r="Z24" s="565"/>
      <c r="AA24" s="565" t="str">
        <f>IF(M24="","",M24)</f>
        <v>Группа потребителей</v>
      </c>
      <c r="AB24" s="565"/>
      <c r="AC24" s="565"/>
      <c r="AD24" s="1220">
        <v>82</v>
      </c>
    </row>
    <row customHeight="1" ht="11.549999999999999">
      <c r="A25" s="1428" t="s">
        <v>181</v>
      </c>
      <c r="B25" s="1428" t="s">
        <v>182</v>
      </c>
      <c r="C25" s="1428" t="s">
        <v>183</v>
      </c>
      <c r="D25" s="1428" t="s">
        <v>184</v>
      </c>
      <c r="E25" s="1428"/>
      <c r="F25" s="2672"/>
      <c r="G25" s="2282"/>
      <c r="H25" s="2282" t="str">
        <f>G24&amp;".1"</f>
        <v>1.1.1.1.1.1.1</v>
      </c>
      <c r="I25" s="2322"/>
      <c r="J25" s="2322"/>
      <c r="K25" s="422">
        <v>1</v>
      </c>
      <c r="L25" s="1358" t="str">
        <f>$H$25</f>
        <v>1.1.1.1.1.1.1</v>
      </c>
      <c r="M25" s="1412"/>
      <c r="N25" s="365"/>
      <c r="O25" s="816"/>
      <c r="P25" s="390"/>
      <c r="Q25" s="816"/>
      <c r="R25" s="1322"/>
      <c r="S25" s="2667"/>
      <c r="T25" s="2172" t="s">
        <v>64</v>
      </c>
      <c r="U25" s="2667"/>
      <c r="V25" s="2172" t="s">
        <v>19</v>
      </c>
      <c r="W25" s="390"/>
      <c r="X25" s="2318" t="s">
        <v>429</v>
      </c>
      <c r="Y25" s="576">
        <f>STRCHECKDATE(O26:W26)</f>
      </c>
      <c r="Z25" s="565"/>
      <c r="AA25" s="565" t="str">
        <f>IF(M25="","",M25)</f>
        <v/>
      </c>
      <c r="AB25" s="565"/>
      <c r="AC25" s="565"/>
      <c r="AD25" s="1220">
        <v>11</v>
      </c>
    </row>
    <row customHeight="1" ht="11.549999999999999">
      <c r="A26" s="1428" t="s">
        <v>181</v>
      </c>
      <c r="B26" s="1428" t="s">
        <v>182</v>
      </c>
      <c r="C26" s="1428" t="s">
        <v>183</v>
      </c>
      <c r="D26" s="1428" t="s">
        <v>184</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181</v>
      </c>
      <c r="B27" s="1428" t="s">
        <v>182</v>
      </c>
      <c r="C27" s="1428" t="s">
        <v>183</v>
      </c>
      <c r="D27" s="1428" t="s">
        <v>184</v>
      </c>
      <c r="E27" s="1428"/>
      <c r="F27" s="2672"/>
      <c r="G27" s="2282"/>
      <c r="I27" s="2322"/>
      <c r="J27" s="2322"/>
      <c r="K27" s="421"/>
      <c r="L27" s="1343"/>
      <c r="M27" s="353" t="s">
        <v>430</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181</v>
      </c>
      <c r="B28" s="1428" t="s">
        <v>182</v>
      </c>
      <c r="C28" s="1428" t="s">
        <v>183</v>
      </c>
      <c r="D28" s="1428" t="s">
        <v>184</v>
      </c>
      <c r="E28" s="1428"/>
      <c r="F28" s="2672"/>
      <c r="I28" s="2322"/>
      <c r="J28" s="1356"/>
      <c r="K28" s="421"/>
      <c r="L28" s="1343"/>
      <c r="M28" s="352" t="s">
        <v>431</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181</v>
      </c>
      <c r="B29" s="1428" t="s">
        <v>182</v>
      </c>
      <c r="C29" s="1428" t="s">
        <v>183</v>
      </c>
      <c r="D29" s="1428" t="s">
        <v>184</v>
      </c>
      <c r="E29" s="1428"/>
      <c r="F29" s="1430"/>
      <c r="G29" s="1430"/>
      <c r="H29" s="602"/>
      <c r="I29" s="425"/>
      <c r="J29" s="440"/>
      <c r="K29" s="420"/>
      <c r="L29" s="1343"/>
      <c r="M29" s="430" t="s">
        <v>432</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181</v>
      </c>
      <c r="B30" s="1428" t="s">
        <v>182</v>
      </c>
      <c r="C30" s="1428" t="s">
        <v>183</v>
      </c>
      <c r="D30" s="1428"/>
      <c r="E30" s="1428" t="s">
        <v>606</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181</v>
      </c>
      <c r="B31" s="1428" t="s">
        <v>182</v>
      </c>
      <c r="C31" s="1428"/>
      <c r="D31" s="1428"/>
      <c r="E31" s="1428" t="s">
        <v>2256</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2257</v>
      </c>
      <c r="B32" s="1428"/>
      <c r="C32" s="1428"/>
      <c r="D32" s="1428"/>
      <c r="E32" s="1428" t="s">
        <v>107</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662" customFormat="1" customHeight="1" ht="11.549999999999999">
      <c r="A33" s="1428"/>
      <c r="B33" s="1428"/>
      <c r="C33" s="1428"/>
      <c r="D33" s="1428"/>
      <c r="E33" s="1428" t="s">
        <v>168</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823</v>
      </c>
      <c r="M35" s="2350" t="s">
        <v>2258</v>
      </c>
      <c r="N35" s="2350"/>
      <c r="O35" s="2350"/>
      <c r="P35" s="2350"/>
      <c r="Q35" s="2350"/>
      <c r="R35" s="2350"/>
      <c r="S35" s="2350"/>
      <c r="T35" s="2350"/>
      <c r="U35" s="2350"/>
      <c r="V35" s="2350"/>
      <c r="W35" s="2350"/>
      <c r="X35" s="2350"/>
      <c r="AD35" s="1220">
        <v>27</v>
      </c>
    </row>
    <row customHeight="1" ht="109.19999999999999">
      <c r="H36" s="602"/>
      <c r="I36" s="1368"/>
      <c r="M36" s="2350" t="s">
        <v>2259</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85</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2B357-D7DF-6943-1FCB-C6541DA775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9D678-7EA4-54A7-BB07-82AED10E9B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805C9-B99C-AF84-3DC7-9A5B8C56D8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7857E-6DE3-509D-1AA1-B042B350D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92E32-DC3F-C338-1458-748AD9C393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6FED9-1D8E-19BB-18CC-AF58E5E057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49DD3-FBE1-6DDB-A972-BF9B570E40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74D72-9145-7EB8-88E6-7EF6A88BEB0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2C84B-37BC-51F8-BFB5-0CB40DCED1AE}" mc:Ignorable="x14ac xr xr2 xr3">
  <dimension ref="A1:E8"/>
  <sheetViews>
    <sheetView topLeftCell="A1" showGridLines="0" workbookViewId="0">
      <selection activeCell="A1" sqref="A1"/>
    </sheetView>
  </sheetViews>
  <sheetFormatPr customHeight="1" defaultRowHeight="11.25"/>
  <cols>
    <col min="1" max="1" style="5662" width="10.57421875" customWidth="1"/>
    <col min="2" max="2" style="5662" width="8.7109375" customWidth="1"/>
    <col min="3" max="3" style="5662" width="18.140625" customWidth="1"/>
    <col min="4" max="4" style="5662" width="12.57421875" customWidth="1"/>
  </cols>
  <sheetData>
    <row customHeight="1" ht="11.25">
      <c r="A1" s="2680" t="s">
        <v>2260</v>
      </c>
      <c r="B1" s="2681" t="s">
        <v>2261</v>
      </c>
      <c r="C1" s="2682" t="s">
        <v>2262</v>
      </c>
      <c r="D1" s="2683"/>
      <c r="E1" s="901" t="s">
        <v>2263</v>
      </c>
    </row>
    <row customHeight="1" ht="11.25">
      <c r="A2" s="2684"/>
      <c r="B2" s="830" t="s">
        <v>26</v>
      </c>
      <c r="C2" s="818"/>
      <c r="D2" s="829"/>
      <c r="E2" s="901"/>
    </row>
    <row customHeight="1" ht="11.25">
      <c r="A3" s="2685"/>
      <c r="B3" s="2686" t="s">
        <v>33</v>
      </c>
      <c r="C3" s="818"/>
      <c r="D3" s="829"/>
      <c r="E3" s="901"/>
    </row>
    <row customHeight="1" ht="11.25">
      <c r="A4" s="2687"/>
      <c r="B4" s="831" t="s">
        <v>1686</v>
      </c>
      <c r="C4" s="818"/>
      <c r="D4" s="829"/>
      <c r="E4" s="901"/>
    </row>
    <row customHeight="1" ht="11.25">
      <c r="A5" s="2688"/>
      <c r="B5" s="831" t="s">
        <v>1680</v>
      </c>
      <c r="C5" s="2689" t="s">
        <v>2027</v>
      </c>
      <c r="D5" s="2690" t="s">
        <v>2264</v>
      </c>
      <c r="E5" s="901"/>
    </row>
    <row s="5662" customFormat="1" customHeight="1" ht="11.25">
      <c r="A6" s="2691"/>
      <c r="B6" s="831" t="s">
        <v>1690</v>
      </c>
      <c r="C6" s="818"/>
      <c r="D6" s="829"/>
      <c r="E6" s="901"/>
    </row>
    <row customHeight="1" ht="11.25">
      <c r="A7" s="2692"/>
      <c r="B7" s="831" t="s">
        <v>1698</v>
      </c>
      <c r="C7" s="818"/>
      <c r="D7" s="829"/>
      <c r="E7" s="901"/>
    </row>
    <row customHeight="1" ht="11.25">
      <c r="A8" s="821"/>
      <c r="B8" s="831" t="s">
        <v>1693</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6E4BE-0D95-5CEE-CEC6-8CBE6E354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8D6FB-170B-5669-2A12-C1137FC6BA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6E52B-BE7A-5B82-C8DA-176B5F04F5D8}"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5662" width="9.140625"/>
    <col min="3" max="3" style="5662" width="20.7109375" customWidth="1"/>
    <col min="4" max="4" style="5662" width="25.140625" customWidth="1"/>
    <col min="5" max="9" style="5662" width="9.140625"/>
  </cols>
  <sheetData>
    <row customHeight="1" ht="11.25">
      <c r="A1" s="133" t="s">
        <v>2265</v>
      </c>
      <c r="B1" s="133" t="s">
        <v>2266</v>
      </c>
      <c r="C1" s="133" t="s">
        <v>2267</v>
      </c>
      <c r="D1" s="133" t="s">
        <v>2268</v>
      </c>
      <c r="E1" s="133" t="s">
        <v>2269</v>
      </c>
      <c r="F1" s="133" t="s">
        <v>2270</v>
      </c>
      <c r="G1" s="133" t="s">
        <v>2271</v>
      </c>
      <c r="H1" s="133" t="s">
        <v>2272</v>
      </c>
      <c r="I1" s="133" t="s">
        <v>2273</v>
      </c>
    </row>
    <row customHeight="1" ht="11.25">
      <c r="A2" s="5647" t="s">
        <v>2274</v>
      </c>
      <c r="B2" s="5647" t="s">
        <v>16</v>
      </c>
      <c r="C2" s="5647" t="s">
        <v>2275</v>
      </c>
      <c r="D2" s="5647" t="s">
        <v>2276</v>
      </c>
      <c r="E2" s="5647" t="s">
        <v>2277</v>
      </c>
      <c r="F2" s="5647" t="s">
        <v>2278</v>
      </c>
      <c r="G2" s="5647" t="s">
        <v>2279</v>
      </c>
      <c r="H2" s="5647" t="s">
        <v>28</v>
      </c>
      <c r="I2" s="5647" t="s">
        <v>827</v>
      </c>
    </row>
    <row customHeight="1" ht="11.25">
      <c r="A3" s="5647" t="s">
        <v>2274</v>
      </c>
      <c r="B3" s="5647" t="s">
        <v>16</v>
      </c>
      <c r="C3" s="5647" t="s">
        <v>2280</v>
      </c>
      <c r="D3" s="5647" t="s">
        <v>2281</v>
      </c>
      <c r="E3" s="5647" t="s">
        <v>2282</v>
      </c>
      <c r="F3" s="5647" t="s">
        <v>2283</v>
      </c>
      <c r="G3" s="5647" t="s">
        <v>2284</v>
      </c>
      <c r="H3" s="5647" t="s">
        <v>28</v>
      </c>
      <c r="I3" s="5647" t="s">
        <v>827</v>
      </c>
    </row>
    <row customHeight="1" ht="11.25">
      <c r="A4" s="5647" t="s">
        <v>2274</v>
      </c>
      <c r="B4" s="5647" t="s">
        <v>16</v>
      </c>
      <c r="C4" s="5647" t="s">
        <v>2285</v>
      </c>
      <c r="D4" s="5647" t="s">
        <v>2286</v>
      </c>
      <c r="E4" s="5647" t="s">
        <v>2287</v>
      </c>
      <c r="F4" s="5647" t="s">
        <v>2283</v>
      </c>
      <c r="G4" s="5647" t="s">
        <v>2288</v>
      </c>
      <c r="H4" s="5647" t="s">
        <v>28</v>
      </c>
      <c r="I4" s="5647" t="s">
        <v>827</v>
      </c>
    </row>
    <row customHeight="1" ht="11.25">
      <c r="A5" s="5647" t="s">
        <v>2274</v>
      </c>
      <c r="B5" s="5647" t="s">
        <v>16</v>
      </c>
      <c r="C5" s="5647" t="s">
        <v>2289</v>
      </c>
      <c r="D5" s="5647" t="s">
        <v>2290</v>
      </c>
      <c r="E5" s="5647" t="s">
        <v>2291</v>
      </c>
      <c r="F5" s="5647" t="s">
        <v>2292</v>
      </c>
      <c r="G5" s="5647" t="s">
        <v>2293</v>
      </c>
      <c r="H5" s="5647" t="s">
        <v>28</v>
      </c>
      <c r="I5" s="5647" t="s">
        <v>827</v>
      </c>
    </row>
    <row customHeight="1" ht="11.25">
      <c r="A6" s="5647" t="s">
        <v>2274</v>
      </c>
      <c r="B6" s="5647" t="s">
        <v>16</v>
      </c>
      <c r="C6" s="5647" t="s">
        <v>2294</v>
      </c>
      <c r="D6" s="5647" t="s">
        <v>2295</v>
      </c>
      <c r="E6" s="5647" t="s">
        <v>2296</v>
      </c>
      <c r="F6" s="5647" t="s">
        <v>2297</v>
      </c>
      <c r="G6" s="5647" t="s">
        <v>28</v>
      </c>
      <c r="H6" s="5647" t="s">
        <v>28</v>
      </c>
      <c r="I6" s="5647" t="s">
        <v>827</v>
      </c>
    </row>
    <row customHeight="1" ht="11.25">
      <c r="A7" s="5647" t="s">
        <v>2274</v>
      </c>
      <c r="B7" s="5647" t="s">
        <v>16</v>
      </c>
      <c r="C7" s="5647" t="s">
        <v>2298</v>
      </c>
      <c r="D7" s="5647" t="s">
        <v>2299</v>
      </c>
      <c r="E7" s="5647" t="s">
        <v>2300</v>
      </c>
      <c r="F7" s="5647" t="s">
        <v>2301</v>
      </c>
      <c r="G7" s="5647" t="s">
        <v>28</v>
      </c>
      <c r="H7" s="5647" t="s">
        <v>28</v>
      </c>
      <c r="I7" s="5647" t="s">
        <v>827</v>
      </c>
    </row>
    <row customHeight="1" ht="11.25">
      <c r="A8" s="5647" t="s">
        <v>2274</v>
      </c>
      <c r="B8" s="5647" t="s">
        <v>16</v>
      </c>
      <c r="C8" s="5647" t="s">
        <v>2302</v>
      </c>
      <c r="D8" s="5647" t="s">
        <v>2303</v>
      </c>
      <c r="E8" s="5647" t="s">
        <v>2304</v>
      </c>
      <c r="F8" s="5647" t="s">
        <v>2305</v>
      </c>
      <c r="G8" s="5647" t="s">
        <v>2306</v>
      </c>
      <c r="H8" s="5647" t="s">
        <v>28</v>
      </c>
      <c r="I8" s="5647" t="s">
        <v>827</v>
      </c>
    </row>
    <row customHeight="1" ht="11.25">
      <c r="A9" s="5647" t="s">
        <v>2274</v>
      </c>
      <c r="B9" s="5647" t="s">
        <v>16</v>
      </c>
      <c r="C9" s="5647" t="s">
        <v>2307</v>
      </c>
      <c r="D9" s="5647" t="s">
        <v>2308</v>
      </c>
      <c r="E9" s="5647" t="s">
        <v>2309</v>
      </c>
      <c r="F9" s="5647" t="s">
        <v>2278</v>
      </c>
      <c r="G9" s="5647" t="s">
        <v>2310</v>
      </c>
      <c r="H9" s="5647" t="s">
        <v>28</v>
      </c>
      <c r="I9" s="5647" t="s">
        <v>827</v>
      </c>
    </row>
    <row customHeight="1" ht="11.25">
      <c r="A10" s="5647" t="s">
        <v>2274</v>
      </c>
      <c r="B10" s="5647" t="s">
        <v>16</v>
      </c>
      <c r="C10" s="5647" t="s">
        <v>2311</v>
      </c>
      <c r="D10" s="5647" t="s">
        <v>2312</v>
      </c>
      <c r="E10" s="5647" t="s">
        <v>2313</v>
      </c>
      <c r="F10" s="5647" t="s">
        <v>2283</v>
      </c>
      <c r="G10" s="5647" t="s">
        <v>28</v>
      </c>
      <c r="H10" s="5647" t="s">
        <v>28</v>
      </c>
      <c r="I10" s="5647" t="s">
        <v>827</v>
      </c>
    </row>
    <row customHeight="1" ht="11.25">
      <c r="A11" s="5647" t="s">
        <v>2274</v>
      </c>
      <c r="B11" s="5647" t="s">
        <v>16</v>
      </c>
      <c r="C11" s="5647" t="s">
        <v>2314</v>
      </c>
      <c r="D11" s="5647" t="s">
        <v>2315</v>
      </c>
      <c r="E11" s="5647" t="s">
        <v>2316</v>
      </c>
      <c r="F11" s="5647" t="s">
        <v>2317</v>
      </c>
      <c r="G11" s="5647" t="s">
        <v>2318</v>
      </c>
      <c r="H11" s="5647" t="s">
        <v>28</v>
      </c>
      <c r="I11" s="5647" t="s">
        <v>827</v>
      </c>
    </row>
    <row customHeight="1" ht="11.25">
      <c r="A12" s="5647" t="s">
        <v>2274</v>
      </c>
      <c r="B12" s="5647" t="s">
        <v>16</v>
      </c>
      <c r="C12" s="5647" t="s">
        <v>2319</v>
      </c>
      <c r="D12" s="5647" t="s">
        <v>2320</v>
      </c>
      <c r="E12" s="5647" t="s">
        <v>2321</v>
      </c>
      <c r="F12" s="5647" t="s">
        <v>2322</v>
      </c>
      <c r="G12" s="5647" t="s">
        <v>2323</v>
      </c>
      <c r="H12" s="5647" t="s">
        <v>28</v>
      </c>
      <c r="I12" s="5647" t="s">
        <v>827</v>
      </c>
    </row>
    <row customHeight="1" ht="11.25">
      <c r="A13" s="5647" t="s">
        <v>2274</v>
      </c>
      <c r="B13" s="5647" t="s">
        <v>16</v>
      </c>
      <c r="C13" s="5647" t="s">
        <v>2324</v>
      </c>
      <c r="D13" s="5647" t="s">
        <v>2325</v>
      </c>
      <c r="E13" s="5647" t="s">
        <v>2326</v>
      </c>
      <c r="F13" s="5647" t="s">
        <v>2327</v>
      </c>
      <c r="G13" s="5647" t="s">
        <v>2328</v>
      </c>
      <c r="H13" s="5647" t="s">
        <v>28</v>
      </c>
      <c r="I13" s="5647" t="s">
        <v>827</v>
      </c>
    </row>
    <row customHeight="1" ht="11.25">
      <c r="A14" s="5647" t="s">
        <v>2274</v>
      </c>
      <c r="B14" s="5647" t="s">
        <v>16</v>
      </c>
      <c r="C14" s="5647" t="s">
        <v>2329</v>
      </c>
      <c r="D14" s="5647" t="s">
        <v>2330</v>
      </c>
      <c r="E14" s="5647" t="s">
        <v>2331</v>
      </c>
      <c r="F14" s="5647" t="s">
        <v>2332</v>
      </c>
      <c r="G14" s="5647" t="s">
        <v>28</v>
      </c>
      <c r="H14" s="5647" t="s">
        <v>28</v>
      </c>
      <c r="I14" s="5647" t="s">
        <v>827</v>
      </c>
    </row>
    <row customHeight="1" ht="11.25">
      <c r="A15" s="5647" t="s">
        <v>2274</v>
      </c>
      <c r="B15" s="5647" t="s">
        <v>16</v>
      </c>
      <c r="C15" s="5647" t="s">
        <v>2333</v>
      </c>
      <c r="D15" s="5647" t="s">
        <v>2334</v>
      </c>
      <c r="E15" s="5647" t="s">
        <v>2335</v>
      </c>
      <c r="F15" s="5647" t="s">
        <v>2336</v>
      </c>
      <c r="G15" s="5647" t="s">
        <v>2337</v>
      </c>
      <c r="H15" s="5647" t="s">
        <v>28</v>
      </c>
      <c r="I15" s="5647" t="s">
        <v>827</v>
      </c>
    </row>
    <row customHeight="1" ht="11.25">
      <c r="A16" s="5647" t="s">
        <v>2274</v>
      </c>
      <c r="B16" s="5647" t="s">
        <v>16</v>
      </c>
      <c r="C16" s="5647" t="s">
        <v>2338</v>
      </c>
      <c r="D16" s="5647" t="s">
        <v>2339</v>
      </c>
      <c r="E16" s="5647" t="s">
        <v>2340</v>
      </c>
      <c r="F16" s="5647" t="s">
        <v>2341</v>
      </c>
      <c r="G16" s="5647" t="s">
        <v>2342</v>
      </c>
      <c r="H16" s="5647" t="s">
        <v>28</v>
      </c>
      <c r="I16" s="5647" t="s">
        <v>827</v>
      </c>
    </row>
    <row customHeight="1" ht="11.25">
      <c r="A17" s="5647" t="s">
        <v>2274</v>
      </c>
      <c r="B17" s="5647" t="s">
        <v>16</v>
      </c>
      <c r="C17" s="5647" t="s">
        <v>2343</v>
      </c>
      <c r="D17" s="5647" t="s">
        <v>2344</v>
      </c>
      <c r="E17" s="5647" t="s">
        <v>2345</v>
      </c>
      <c r="F17" s="5647" t="s">
        <v>2305</v>
      </c>
      <c r="G17" s="5647" t="s">
        <v>2346</v>
      </c>
      <c r="H17" s="5647" t="s">
        <v>28</v>
      </c>
      <c r="I17" s="5647" t="s">
        <v>827</v>
      </c>
    </row>
    <row customHeight="1" ht="11.25">
      <c r="A18" s="5647" t="s">
        <v>2274</v>
      </c>
      <c r="B18" s="5647" t="s">
        <v>16</v>
      </c>
      <c r="C18" s="5647" t="s">
        <v>2347</v>
      </c>
      <c r="D18" s="5647" t="s">
        <v>2348</v>
      </c>
      <c r="E18" s="5647" t="s">
        <v>2349</v>
      </c>
      <c r="F18" s="5647" t="s">
        <v>2292</v>
      </c>
      <c r="G18" s="5647" t="s">
        <v>2350</v>
      </c>
      <c r="H18" s="5647" t="s">
        <v>28</v>
      </c>
      <c r="I18" s="5647" t="s">
        <v>827</v>
      </c>
    </row>
    <row customHeight="1" ht="11.25">
      <c r="A19" s="5647" t="s">
        <v>2274</v>
      </c>
      <c r="B19" s="5647" t="s">
        <v>16</v>
      </c>
      <c r="C19" s="5647" t="s">
        <v>2351</v>
      </c>
      <c r="D19" s="5647" t="s">
        <v>2352</v>
      </c>
      <c r="E19" s="5647" t="s">
        <v>2353</v>
      </c>
      <c r="F19" s="5647" t="s">
        <v>2317</v>
      </c>
      <c r="G19" s="5647" t="s">
        <v>2354</v>
      </c>
      <c r="H19" s="5647" t="s">
        <v>28</v>
      </c>
      <c r="I19" s="5647" t="s">
        <v>827</v>
      </c>
    </row>
    <row customHeight="1" ht="11.25">
      <c r="A20" s="5647" t="s">
        <v>2274</v>
      </c>
      <c r="B20" s="5647" t="s">
        <v>16</v>
      </c>
      <c r="C20" s="5647" t="s">
        <v>2355</v>
      </c>
      <c r="D20" s="5647" t="s">
        <v>2356</v>
      </c>
      <c r="E20" s="5647" t="s">
        <v>2357</v>
      </c>
      <c r="F20" s="5647" t="s">
        <v>2317</v>
      </c>
      <c r="G20" s="5647" t="s">
        <v>2358</v>
      </c>
      <c r="H20" s="5647" t="s">
        <v>28</v>
      </c>
      <c r="I20" s="5647" t="s">
        <v>827</v>
      </c>
    </row>
    <row customHeight="1" ht="11.25">
      <c r="A21" s="5647" t="s">
        <v>2274</v>
      </c>
      <c r="B21" s="5647" t="s">
        <v>16</v>
      </c>
      <c r="C21" s="5647" t="s">
        <v>2359</v>
      </c>
      <c r="D21" s="5647" t="s">
        <v>2360</v>
      </c>
      <c r="E21" s="5647" t="s">
        <v>2361</v>
      </c>
      <c r="F21" s="5647" t="s">
        <v>2305</v>
      </c>
      <c r="G21" s="5647" t="s">
        <v>2362</v>
      </c>
      <c r="H21" s="5647" t="s">
        <v>28</v>
      </c>
      <c r="I21" s="5647" t="s">
        <v>827</v>
      </c>
    </row>
    <row customHeight="1" ht="11.25">
      <c r="A22" s="5647" t="s">
        <v>2274</v>
      </c>
      <c r="B22" s="5647" t="s">
        <v>16</v>
      </c>
      <c r="C22" s="5647" t="s">
        <v>2363</v>
      </c>
      <c r="D22" s="5647" t="s">
        <v>2364</v>
      </c>
      <c r="E22" s="5647" t="s">
        <v>2365</v>
      </c>
      <c r="F22" s="5647" t="s">
        <v>2366</v>
      </c>
      <c r="G22" s="5647" t="s">
        <v>2367</v>
      </c>
      <c r="H22" s="5647" t="s">
        <v>28</v>
      </c>
      <c r="I22" s="5647" t="s">
        <v>827</v>
      </c>
    </row>
    <row customHeight="1" ht="11.25">
      <c r="A23" s="5647" t="s">
        <v>2274</v>
      </c>
      <c r="B23" s="5647" t="s">
        <v>16</v>
      </c>
      <c r="C23" s="5647" t="s">
        <v>2368</v>
      </c>
      <c r="D23" s="5647" t="s">
        <v>2369</v>
      </c>
      <c r="E23" s="5647" t="s">
        <v>2370</v>
      </c>
      <c r="F23" s="5647" t="s">
        <v>2371</v>
      </c>
      <c r="G23" s="5647" t="s">
        <v>2372</v>
      </c>
      <c r="H23" s="5647" t="s">
        <v>28</v>
      </c>
      <c r="I23" s="5647" t="s">
        <v>827</v>
      </c>
    </row>
    <row customHeight="1" ht="11.25">
      <c r="A24" s="5647" t="s">
        <v>2274</v>
      </c>
      <c r="B24" s="5647" t="s">
        <v>16</v>
      </c>
      <c r="C24" s="5647" t="s">
        <v>2373</v>
      </c>
      <c r="D24" s="5647" t="s">
        <v>2374</v>
      </c>
      <c r="E24" s="5647" t="s">
        <v>2375</v>
      </c>
      <c r="F24" s="5647" t="s">
        <v>595</v>
      </c>
      <c r="G24" s="5647" t="s">
        <v>2376</v>
      </c>
      <c r="H24" s="5647" t="s">
        <v>28</v>
      </c>
      <c r="I24" s="5647" t="s">
        <v>827</v>
      </c>
    </row>
    <row customHeight="1" ht="11.25">
      <c r="A25" s="5647" t="s">
        <v>2274</v>
      </c>
      <c r="B25" s="5647" t="s">
        <v>16</v>
      </c>
      <c r="C25" s="5647" t="s">
        <v>2377</v>
      </c>
      <c r="D25" s="5647" t="s">
        <v>2378</v>
      </c>
      <c r="E25" s="5647" t="s">
        <v>2379</v>
      </c>
      <c r="F25" s="5647" t="s">
        <v>595</v>
      </c>
      <c r="G25" s="5647" t="s">
        <v>2380</v>
      </c>
      <c r="H25" s="5647" t="s">
        <v>28</v>
      </c>
      <c r="I25" s="5647" t="s">
        <v>827</v>
      </c>
    </row>
    <row customHeight="1" ht="11.25">
      <c r="A26" s="5647" t="s">
        <v>2274</v>
      </c>
      <c r="B26" s="5647" t="s">
        <v>16</v>
      </c>
      <c r="C26" s="5647" t="s">
        <v>2381</v>
      </c>
      <c r="D26" s="5647" t="s">
        <v>2382</v>
      </c>
      <c r="E26" s="5647" t="s">
        <v>2383</v>
      </c>
      <c r="F26" s="5647" t="s">
        <v>595</v>
      </c>
      <c r="G26" s="5647" t="s">
        <v>2384</v>
      </c>
      <c r="H26" s="5647" t="s">
        <v>28</v>
      </c>
      <c r="I26" s="5647" t="s">
        <v>827</v>
      </c>
    </row>
    <row customHeight="1" ht="11.25">
      <c r="A27" s="5647" t="s">
        <v>2274</v>
      </c>
      <c r="B27" s="5647" t="s">
        <v>16</v>
      </c>
      <c r="C27" s="5647" t="s">
        <v>2385</v>
      </c>
      <c r="D27" s="5647" t="s">
        <v>2386</v>
      </c>
      <c r="E27" s="5647" t="s">
        <v>2387</v>
      </c>
      <c r="F27" s="5647" t="s">
        <v>595</v>
      </c>
      <c r="G27" s="5647" t="s">
        <v>2388</v>
      </c>
      <c r="H27" s="5647" t="s">
        <v>28</v>
      </c>
      <c r="I27" s="5647" t="s">
        <v>827</v>
      </c>
    </row>
    <row customHeight="1" ht="11.25">
      <c r="A28" s="5647" t="s">
        <v>2274</v>
      </c>
      <c r="B28" s="5647" t="s">
        <v>16</v>
      </c>
      <c r="C28" s="5647" t="s">
        <v>2389</v>
      </c>
      <c r="D28" s="5647" t="s">
        <v>2390</v>
      </c>
      <c r="E28" s="5647" t="s">
        <v>2370</v>
      </c>
      <c r="F28" s="5647" t="s">
        <v>2391</v>
      </c>
      <c r="G28" s="5647" t="s">
        <v>2372</v>
      </c>
      <c r="H28" s="5647" t="s">
        <v>28</v>
      </c>
      <c r="I28" s="5647" t="s">
        <v>827</v>
      </c>
    </row>
    <row customHeight="1" ht="11.25">
      <c r="A29" s="5647" t="s">
        <v>2274</v>
      </c>
      <c r="B29" s="5647" t="s">
        <v>16</v>
      </c>
      <c r="C29" s="5647" t="s">
        <v>2392</v>
      </c>
      <c r="D29" s="5647" t="s">
        <v>2393</v>
      </c>
      <c r="E29" s="5647" t="s">
        <v>2394</v>
      </c>
      <c r="F29" s="5647" t="s">
        <v>2292</v>
      </c>
      <c r="G29" s="5647" t="s">
        <v>2395</v>
      </c>
      <c r="H29" s="5647" t="s">
        <v>28</v>
      </c>
      <c r="I29" s="5647" t="s">
        <v>827</v>
      </c>
    </row>
    <row customHeight="1" ht="11.25">
      <c r="A30" s="5647" t="s">
        <v>2274</v>
      </c>
      <c r="B30" s="5647" t="s">
        <v>16</v>
      </c>
      <c r="C30" s="5647" t="s">
        <v>2396</v>
      </c>
      <c r="D30" s="5647" t="s">
        <v>2397</v>
      </c>
      <c r="E30" s="5647" t="s">
        <v>2398</v>
      </c>
      <c r="F30" s="5647" t="s">
        <v>2292</v>
      </c>
      <c r="G30" s="5647" t="s">
        <v>2399</v>
      </c>
      <c r="H30" s="5647" t="s">
        <v>28</v>
      </c>
      <c r="I30" s="5647" t="s">
        <v>827</v>
      </c>
    </row>
    <row customHeight="1" ht="11.25">
      <c r="A31" s="5647" t="s">
        <v>2274</v>
      </c>
      <c r="B31" s="5647" t="s">
        <v>16</v>
      </c>
      <c r="C31" s="5647" t="s">
        <v>2400</v>
      </c>
      <c r="D31" s="5647" t="s">
        <v>2401</v>
      </c>
      <c r="E31" s="5647" t="s">
        <v>2402</v>
      </c>
      <c r="F31" s="5647" t="s">
        <v>2403</v>
      </c>
      <c r="G31" s="5647" t="s">
        <v>2404</v>
      </c>
      <c r="H31" s="5647" t="s">
        <v>28</v>
      </c>
      <c r="I31" s="5647" t="s">
        <v>827</v>
      </c>
    </row>
    <row customHeight="1" ht="11.25">
      <c r="A32" s="5647" t="s">
        <v>2274</v>
      </c>
      <c r="B32" s="5647" t="s">
        <v>16</v>
      </c>
      <c r="C32" s="5647" t="s">
        <v>2405</v>
      </c>
      <c r="D32" s="5647" t="s">
        <v>2406</v>
      </c>
      <c r="E32" s="5647" t="s">
        <v>2407</v>
      </c>
      <c r="F32" s="5647" t="s">
        <v>2408</v>
      </c>
      <c r="G32" s="5647" t="s">
        <v>2409</v>
      </c>
      <c r="H32" s="5647" t="s">
        <v>28</v>
      </c>
      <c r="I32" s="5647" t="s">
        <v>827</v>
      </c>
    </row>
    <row customHeight="1" ht="11.25">
      <c r="A33" s="5647" t="s">
        <v>2274</v>
      </c>
      <c r="B33" s="5647" t="s">
        <v>16</v>
      </c>
      <c r="C33" s="5647" t="s">
        <v>2410</v>
      </c>
      <c r="D33" s="5647" t="s">
        <v>2411</v>
      </c>
      <c r="E33" s="5647" t="s">
        <v>2412</v>
      </c>
      <c r="F33" s="5647" t="s">
        <v>2413</v>
      </c>
      <c r="G33" s="5647" t="s">
        <v>2414</v>
      </c>
      <c r="H33" s="5647" t="s">
        <v>28</v>
      </c>
      <c r="I33" s="5647" t="s">
        <v>827</v>
      </c>
    </row>
    <row customHeight="1" ht="11.25">
      <c r="A34" s="5647" t="s">
        <v>2274</v>
      </c>
      <c r="B34" s="5647" t="s">
        <v>16</v>
      </c>
      <c r="C34" s="5647" t="s">
        <v>2415</v>
      </c>
      <c r="D34" s="5647" t="s">
        <v>2416</v>
      </c>
      <c r="E34" s="5647" t="s">
        <v>2417</v>
      </c>
      <c r="F34" s="5647" t="s">
        <v>2418</v>
      </c>
      <c r="G34" s="5647" t="s">
        <v>2419</v>
      </c>
      <c r="H34" s="5647" t="s">
        <v>28</v>
      </c>
      <c r="I34" s="5647" t="s">
        <v>827</v>
      </c>
    </row>
    <row customHeight="1" ht="11.25">
      <c r="A35" s="5647" t="s">
        <v>2274</v>
      </c>
      <c r="B35" s="5647" t="s">
        <v>16</v>
      </c>
      <c r="C35" s="5647" t="s">
        <v>2420</v>
      </c>
      <c r="D35" s="5647" t="s">
        <v>2421</v>
      </c>
      <c r="E35" s="5647" t="s">
        <v>2422</v>
      </c>
      <c r="F35" s="5647" t="s">
        <v>2423</v>
      </c>
      <c r="G35" s="5647" t="s">
        <v>2424</v>
      </c>
      <c r="H35" s="5647" t="s">
        <v>28</v>
      </c>
      <c r="I35" s="5647" t="s">
        <v>827</v>
      </c>
    </row>
    <row customHeight="1" ht="11.25">
      <c r="A36" s="5647" t="s">
        <v>2274</v>
      </c>
      <c r="B36" s="5647" t="s">
        <v>16</v>
      </c>
      <c r="C36" s="5647" t="s">
        <v>2425</v>
      </c>
      <c r="D36" s="5647" t="s">
        <v>2426</v>
      </c>
      <c r="E36" s="5647" t="s">
        <v>2427</v>
      </c>
      <c r="F36" s="5647" t="s">
        <v>2403</v>
      </c>
      <c r="G36" s="5647" t="s">
        <v>2428</v>
      </c>
      <c r="H36" s="5647" t="s">
        <v>2429</v>
      </c>
      <c r="I36" s="5647" t="s">
        <v>827</v>
      </c>
    </row>
    <row customHeight="1" ht="11.25">
      <c r="A37" s="5647" t="s">
        <v>2274</v>
      </c>
      <c r="B37" s="5647" t="s">
        <v>16</v>
      </c>
      <c r="C37" s="5647" t="s">
        <v>2430</v>
      </c>
      <c r="D37" s="5647" t="s">
        <v>2431</v>
      </c>
      <c r="E37" s="5647" t="s">
        <v>2432</v>
      </c>
      <c r="F37" s="5647" t="s">
        <v>2305</v>
      </c>
      <c r="G37" s="5647" t="s">
        <v>2433</v>
      </c>
      <c r="H37" s="5647" t="s">
        <v>28</v>
      </c>
      <c r="I37" s="5647" t="s">
        <v>827</v>
      </c>
    </row>
    <row customHeight="1" ht="11.25">
      <c r="A38" s="5647" t="s">
        <v>2274</v>
      </c>
      <c r="B38" s="5647" t="s">
        <v>16</v>
      </c>
      <c r="C38" s="5647" t="s">
        <v>2434</v>
      </c>
      <c r="D38" s="5647" t="s">
        <v>2435</v>
      </c>
      <c r="E38" s="5647" t="s">
        <v>2296</v>
      </c>
      <c r="F38" s="5647" t="s">
        <v>2436</v>
      </c>
      <c r="G38" s="5647" t="s">
        <v>2437</v>
      </c>
      <c r="H38" s="5647" t="s">
        <v>28</v>
      </c>
      <c r="I38" s="5647" t="s">
        <v>827</v>
      </c>
    </row>
    <row customHeight="1" ht="11.25">
      <c r="A39" s="5647" t="s">
        <v>2274</v>
      </c>
      <c r="B39" s="5647" t="s">
        <v>16</v>
      </c>
      <c r="C39" s="5647" t="s">
        <v>2438</v>
      </c>
      <c r="D39" s="5647" t="s">
        <v>2439</v>
      </c>
      <c r="E39" s="5647" t="s">
        <v>2440</v>
      </c>
      <c r="F39" s="5647" t="s">
        <v>2292</v>
      </c>
      <c r="G39" s="5647" t="s">
        <v>2441</v>
      </c>
      <c r="H39" s="5647" t="s">
        <v>28</v>
      </c>
      <c r="I39" s="5647" t="s">
        <v>827</v>
      </c>
    </row>
    <row customHeight="1" ht="11.25">
      <c r="A40" s="5647" t="s">
        <v>2274</v>
      </c>
      <c r="B40" s="5647" t="s">
        <v>16</v>
      </c>
      <c r="C40" s="5647" t="s">
        <v>2442</v>
      </c>
      <c r="D40" s="5647" t="s">
        <v>2443</v>
      </c>
      <c r="E40" s="5647" t="s">
        <v>2444</v>
      </c>
      <c r="F40" s="5647" t="s">
        <v>2445</v>
      </c>
      <c r="G40" s="5647" t="s">
        <v>2446</v>
      </c>
      <c r="H40" s="5647" t="s">
        <v>28</v>
      </c>
      <c r="I40" s="5647" t="s">
        <v>827</v>
      </c>
    </row>
    <row customHeight="1" ht="11.25">
      <c r="A41" s="5647" t="s">
        <v>2274</v>
      </c>
      <c r="B41" s="5647" t="s">
        <v>16</v>
      </c>
      <c r="C41" s="5647" t="s">
        <v>2447</v>
      </c>
      <c r="D41" s="5647" t="s">
        <v>2448</v>
      </c>
      <c r="E41" s="5647" t="s">
        <v>2449</v>
      </c>
      <c r="F41" s="5647" t="s">
        <v>2305</v>
      </c>
      <c r="G41" s="5647" t="s">
        <v>28</v>
      </c>
      <c r="H41" s="5647" t="s">
        <v>28</v>
      </c>
      <c r="I41" s="5647" t="s">
        <v>827</v>
      </c>
    </row>
    <row customHeight="1" ht="11.25">
      <c r="A42" s="5647" t="s">
        <v>2274</v>
      </c>
      <c r="B42" s="5647" t="s">
        <v>16</v>
      </c>
      <c r="C42" s="5647" t="s">
        <v>2450</v>
      </c>
      <c r="D42" s="5647" t="s">
        <v>2451</v>
      </c>
      <c r="E42" s="5647" t="s">
        <v>2452</v>
      </c>
      <c r="F42" s="5647" t="s">
        <v>2453</v>
      </c>
      <c r="G42" s="5647" t="s">
        <v>2454</v>
      </c>
      <c r="H42" s="5647" t="s">
        <v>28</v>
      </c>
      <c r="I42" s="5647" t="s">
        <v>827</v>
      </c>
    </row>
    <row customHeight="1" ht="11.25">
      <c r="A43" s="5647" t="s">
        <v>2274</v>
      </c>
      <c r="B43" s="5647" t="s">
        <v>16</v>
      </c>
      <c r="C43" s="5647" t="s">
        <v>2455</v>
      </c>
      <c r="D43" s="5647" t="s">
        <v>2456</v>
      </c>
      <c r="E43" s="5647" t="s">
        <v>2457</v>
      </c>
      <c r="F43" s="5647" t="s">
        <v>2341</v>
      </c>
      <c r="G43" s="5647" t="s">
        <v>2458</v>
      </c>
      <c r="H43" s="5647" t="s">
        <v>28</v>
      </c>
      <c r="I43" s="5647" t="s">
        <v>827</v>
      </c>
    </row>
    <row customHeight="1" ht="11.25">
      <c r="A44" s="5647" t="s">
        <v>2274</v>
      </c>
      <c r="B44" s="5647" t="s">
        <v>16</v>
      </c>
      <c r="C44" s="5647" t="s">
        <v>2459</v>
      </c>
      <c r="D44" s="5647" t="s">
        <v>2460</v>
      </c>
      <c r="E44" s="5647" t="s">
        <v>2461</v>
      </c>
      <c r="F44" s="5647" t="s">
        <v>2462</v>
      </c>
      <c r="G44" s="5647" t="s">
        <v>2463</v>
      </c>
      <c r="H44" s="5647" t="s">
        <v>28</v>
      </c>
      <c r="I44" s="5647" t="s">
        <v>827</v>
      </c>
    </row>
    <row customHeight="1" ht="11.25">
      <c r="A45" s="5647" t="s">
        <v>2274</v>
      </c>
      <c r="B45" s="5647" t="s">
        <v>16</v>
      </c>
      <c r="C45" s="5647" t="s">
        <v>2464</v>
      </c>
      <c r="D45" s="5647" t="s">
        <v>2465</v>
      </c>
      <c r="E45" s="5647" t="s">
        <v>2466</v>
      </c>
      <c r="F45" s="5647" t="s">
        <v>2327</v>
      </c>
      <c r="G45" s="5647" t="s">
        <v>28</v>
      </c>
      <c r="H45" s="5647" t="s">
        <v>28</v>
      </c>
      <c r="I45" s="5647" t="s">
        <v>827</v>
      </c>
    </row>
    <row customHeight="1" ht="11.25">
      <c r="A46" s="5647" t="s">
        <v>2274</v>
      </c>
      <c r="B46" s="5647" t="s">
        <v>16</v>
      </c>
      <c r="C46" s="5647" t="s">
        <v>2467</v>
      </c>
      <c r="D46" s="5647" t="s">
        <v>2468</v>
      </c>
      <c r="E46" s="5647" t="s">
        <v>2469</v>
      </c>
      <c r="F46" s="5647" t="s">
        <v>2292</v>
      </c>
      <c r="G46" s="5647" t="s">
        <v>28</v>
      </c>
      <c r="H46" s="5647" t="s">
        <v>28</v>
      </c>
      <c r="I46" s="5647" t="s">
        <v>827</v>
      </c>
    </row>
    <row customHeight="1" ht="11.25">
      <c r="A47" s="5647" t="s">
        <v>2274</v>
      </c>
      <c r="B47" s="5647" t="s">
        <v>16</v>
      </c>
      <c r="C47" s="5647" t="s">
        <v>2470</v>
      </c>
      <c r="D47" s="5647" t="s">
        <v>2471</v>
      </c>
      <c r="E47" s="5647" t="s">
        <v>2472</v>
      </c>
      <c r="F47" s="5647" t="s">
        <v>2317</v>
      </c>
      <c r="G47" s="5647" t="s">
        <v>2473</v>
      </c>
      <c r="H47" s="5647" t="s">
        <v>28</v>
      </c>
      <c r="I47" s="5647" t="s">
        <v>827</v>
      </c>
    </row>
    <row customHeight="1" ht="11.25">
      <c r="A48" s="5647" t="s">
        <v>2274</v>
      </c>
      <c r="B48" s="5647" t="s">
        <v>16</v>
      </c>
      <c r="C48" s="5647" t="s">
        <v>2474</v>
      </c>
      <c r="D48" s="5647" t="s">
        <v>2475</v>
      </c>
      <c r="E48" s="5647" t="s">
        <v>2476</v>
      </c>
      <c r="F48" s="5647" t="s">
        <v>2477</v>
      </c>
      <c r="G48" s="5647" t="s">
        <v>2478</v>
      </c>
      <c r="H48" s="5647" t="s">
        <v>28</v>
      </c>
      <c r="I48" s="5647" t="s">
        <v>827</v>
      </c>
    </row>
    <row customHeight="1" ht="11.25">
      <c r="A49" s="5647" t="s">
        <v>2274</v>
      </c>
      <c r="B49" s="5647" t="s">
        <v>16</v>
      </c>
      <c r="C49" s="5647" t="s">
        <v>2479</v>
      </c>
      <c r="D49" s="5647" t="s">
        <v>2480</v>
      </c>
      <c r="E49" s="5647" t="s">
        <v>2481</v>
      </c>
      <c r="F49" s="5647" t="s">
        <v>2278</v>
      </c>
      <c r="G49" s="5647" t="s">
        <v>2482</v>
      </c>
      <c r="H49" s="5647" t="s">
        <v>28</v>
      </c>
      <c r="I49" s="5647" t="s">
        <v>827</v>
      </c>
    </row>
    <row customHeight="1" ht="11.25">
      <c r="A50" s="5647" t="s">
        <v>2274</v>
      </c>
      <c r="B50" s="5647" t="s">
        <v>16</v>
      </c>
      <c r="C50" s="5647" t="s">
        <v>2483</v>
      </c>
      <c r="D50" s="5647" t="s">
        <v>2484</v>
      </c>
      <c r="E50" s="5647" t="s">
        <v>2485</v>
      </c>
      <c r="F50" s="5647" t="s">
        <v>2292</v>
      </c>
      <c r="G50" s="5647" t="s">
        <v>28</v>
      </c>
      <c r="H50" s="5647" t="s">
        <v>28</v>
      </c>
      <c r="I50" s="5647" t="s">
        <v>827</v>
      </c>
    </row>
    <row customHeight="1" ht="11.25">
      <c r="A51" s="5647" t="s">
        <v>2274</v>
      </c>
      <c r="B51" s="5647" t="s">
        <v>16</v>
      </c>
      <c r="C51" s="5647" t="s">
        <v>2486</v>
      </c>
      <c r="D51" s="5647" t="s">
        <v>2487</v>
      </c>
      <c r="E51" s="5647" t="s">
        <v>2488</v>
      </c>
      <c r="F51" s="5647" t="s">
        <v>2423</v>
      </c>
      <c r="G51" s="5647" t="s">
        <v>2489</v>
      </c>
      <c r="H51" s="5647" t="s">
        <v>28</v>
      </c>
      <c r="I51" s="5647" t="s">
        <v>827</v>
      </c>
    </row>
    <row customHeight="1" ht="11.25">
      <c r="A52" s="5647" t="s">
        <v>2274</v>
      </c>
      <c r="B52" s="5647" t="s">
        <v>16</v>
      </c>
      <c r="C52" s="5647" t="s">
        <v>2490</v>
      </c>
      <c r="D52" s="5647" t="s">
        <v>2491</v>
      </c>
      <c r="E52" s="5647" t="s">
        <v>2492</v>
      </c>
      <c r="F52" s="5647" t="s">
        <v>2292</v>
      </c>
      <c r="G52" s="5647" t="s">
        <v>28</v>
      </c>
      <c r="H52" s="5647" t="s">
        <v>28</v>
      </c>
      <c r="I52" s="5647" t="s">
        <v>827</v>
      </c>
    </row>
    <row customHeight="1" ht="11.25">
      <c r="A53" s="5647" t="s">
        <v>2274</v>
      </c>
      <c r="B53" s="5647" t="s">
        <v>16</v>
      </c>
      <c r="C53" s="5647" t="s">
        <v>2493</v>
      </c>
      <c r="D53" s="5647" t="s">
        <v>2494</v>
      </c>
      <c r="E53" s="5647" t="s">
        <v>2495</v>
      </c>
      <c r="F53" s="5647" t="s">
        <v>2322</v>
      </c>
      <c r="G53" s="5647" t="s">
        <v>2496</v>
      </c>
      <c r="H53" s="5647" t="s">
        <v>28</v>
      </c>
      <c r="I53" s="5647" t="s">
        <v>827</v>
      </c>
    </row>
    <row customHeight="1" ht="11.25">
      <c r="A54" s="5647" t="s">
        <v>2274</v>
      </c>
      <c r="B54" s="5647" t="s">
        <v>16</v>
      </c>
      <c r="C54" s="5647" t="s">
        <v>2497</v>
      </c>
      <c r="D54" s="5647" t="s">
        <v>2498</v>
      </c>
      <c r="E54" s="5647" t="s">
        <v>2499</v>
      </c>
      <c r="F54" s="5647" t="s">
        <v>2283</v>
      </c>
      <c r="G54" s="5647" t="s">
        <v>2500</v>
      </c>
      <c r="H54" s="5647" t="s">
        <v>28</v>
      </c>
      <c r="I54" s="5647" t="s">
        <v>827</v>
      </c>
    </row>
    <row customHeight="1" ht="11.25">
      <c r="A55" s="5647" t="s">
        <v>2274</v>
      </c>
      <c r="B55" s="5647" t="s">
        <v>16</v>
      </c>
      <c r="C55" s="5647" t="s">
        <v>2501</v>
      </c>
      <c r="D55" s="5647" t="s">
        <v>2502</v>
      </c>
      <c r="E55" s="5647" t="s">
        <v>2503</v>
      </c>
      <c r="F55" s="5647" t="s">
        <v>2322</v>
      </c>
      <c r="G55" s="5647" t="s">
        <v>2504</v>
      </c>
      <c r="H55" s="5647" t="s">
        <v>28</v>
      </c>
      <c r="I55" s="5647" t="s">
        <v>827</v>
      </c>
    </row>
    <row customHeight="1" ht="11.25">
      <c r="A56" s="5647" t="s">
        <v>2274</v>
      </c>
      <c r="B56" s="5647" t="s">
        <v>16</v>
      </c>
      <c r="C56" s="5647" t="s">
        <v>2505</v>
      </c>
      <c r="D56" s="5647" t="s">
        <v>2506</v>
      </c>
      <c r="E56" s="5647" t="s">
        <v>2507</v>
      </c>
      <c r="F56" s="5647" t="s">
        <v>2508</v>
      </c>
      <c r="G56" s="5647" t="s">
        <v>2509</v>
      </c>
      <c r="H56" s="5647" t="s">
        <v>28</v>
      </c>
      <c r="I56" s="5647" t="s">
        <v>827</v>
      </c>
    </row>
    <row customHeight="1" ht="11.25">
      <c r="A57" s="5647" t="s">
        <v>2274</v>
      </c>
      <c r="B57" s="5647" t="s">
        <v>16</v>
      </c>
      <c r="C57" s="5647" t="s">
        <v>2510</v>
      </c>
      <c r="D57" s="5647" t="s">
        <v>2511</v>
      </c>
      <c r="E57" s="5647" t="s">
        <v>2512</v>
      </c>
      <c r="F57" s="5647" t="s">
        <v>2423</v>
      </c>
      <c r="G57" s="5647" t="s">
        <v>2513</v>
      </c>
      <c r="H57" s="5647" t="s">
        <v>28</v>
      </c>
      <c r="I57" s="5647" t="s">
        <v>827</v>
      </c>
    </row>
    <row customHeight="1" ht="11.25">
      <c r="A58" s="5647" t="s">
        <v>2274</v>
      </c>
      <c r="B58" s="5647" t="s">
        <v>16</v>
      </c>
      <c r="C58" s="5647" t="s">
        <v>2514</v>
      </c>
      <c r="D58" s="5647" t="s">
        <v>2515</v>
      </c>
      <c r="E58" s="5647" t="s">
        <v>2516</v>
      </c>
      <c r="F58" s="5647" t="s">
        <v>2508</v>
      </c>
      <c r="G58" s="5647" t="s">
        <v>2517</v>
      </c>
      <c r="H58" s="5647" t="s">
        <v>28</v>
      </c>
      <c r="I58" s="5647" t="s">
        <v>827</v>
      </c>
    </row>
    <row customHeight="1" ht="11.25">
      <c r="A59" s="5647" t="s">
        <v>2274</v>
      </c>
      <c r="B59" s="5647" t="s">
        <v>16</v>
      </c>
      <c r="C59" s="5647" t="s">
        <v>2518</v>
      </c>
      <c r="D59" s="5647" t="s">
        <v>2519</v>
      </c>
      <c r="E59" s="5647" t="s">
        <v>2520</v>
      </c>
      <c r="F59" s="5647" t="s">
        <v>2477</v>
      </c>
      <c r="G59" s="5647" t="s">
        <v>2521</v>
      </c>
      <c r="H59" s="5647" t="s">
        <v>28</v>
      </c>
      <c r="I59" s="5647" t="s">
        <v>827</v>
      </c>
    </row>
    <row customHeight="1" ht="11.25">
      <c r="A60" s="5647" t="s">
        <v>2274</v>
      </c>
      <c r="B60" s="5647" t="s">
        <v>16</v>
      </c>
      <c r="C60" s="5647" t="s">
        <v>2522</v>
      </c>
      <c r="D60" s="5647" t="s">
        <v>2523</v>
      </c>
      <c r="E60" s="5647" t="s">
        <v>2524</v>
      </c>
      <c r="F60" s="5647" t="s">
        <v>2305</v>
      </c>
      <c r="G60" s="5647" t="s">
        <v>2525</v>
      </c>
      <c r="H60" s="5647" t="s">
        <v>28</v>
      </c>
      <c r="I60" s="5647" t="s">
        <v>827</v>
      </c>
    </row>
    <row customHeight="1" ht="11.25">
      <c r="A61" s="5647" t="s">
        <v>2274</v>
      </c>
      <c r="B61" s="5647" t="s">
        <v>16</v>
      </c>
      <c r="C61" s="5647" t="s">
        <v>2526</v>
      </c>
      <c r="D61" s="5647" t="s">
        <v>2527</v>
      </c>
      <c r="E61" s="5647" t="s">
        <v>2528</v>
      </c>
      <c r="F61" s="5647" t="s">
        <v>2529</v>
      </c>
      <c r="G61" s="5647" t="s">
        <v>28</v>
      </c>
      <c r="H61" s="5647" t="s">
        <v>28</v>
      </c>
      <c r="I61" s="5647" t="s">
        <v>827</v>
      </c>
    </row>
    <row customHeight="1" ht="11.25">
      <c r="A62" s="5647" t="s">
        <v>2274</v>
      </c>
      <c r="B62" s="5647" t="s">
        <v>16</v>
      </c>
      <c r="C62" s="5647" t="s">
        <v>2530</v>
      </c>
      <c r="D62" s="5647" t="s">
        <v>2531</v>
      </c>
      <c r="E62" s="5647" t="s">
        <v>2532</v>
      </c>
      <c r="F62" s="5647" t="s">
        <v>2533</v>
      </c>
      <c r="G62" s="5647" t="s">
        <v>2534</v>
      </c>
      <c r="H62" s="5647" t="s">
        <v>28</v>
      </c>
      <c r="I62" s="5647" t="s">
        <v>827</v>
      </c>
    </row>
    <row customHeight="1" ht="11.25">
      <c r="A63" s="5647" t="s">
        <v>2274</v>
      </c>
      <c r="B63" s="5647" t="s">
        <v>16</v>
      </c>
      <c r="C63" s="5647" t="s">
        <v>2535</v>
      </c>
      <c r="D63" s="5647" t="s">
        <v>2536</v>
      </c>
      <c r="E63" s="5647" t="s">
        <v>2537</v>
      </c>
      <c r="F63" s="5647" t="s">
        <v>2538</v>
      </c>
      <c r="G63" s="5647" t="s">
        <v>2539</v>
      </c>
      <c r="H63" s="5647" t="s">
        <v>28</v>
      </c>
      <c r="I63" s="5647" t="s">
        <v>827</v>
      </c>
    </row>
    <row customHeight="1" ht="11.25">
      <c r="A64" s="5647" t="s">
        <v>2274</v>
      </c>
      <c r="B64" s="5647" t="s">
        <v>16</v>
      </c>
      <c r="C64" s="5647" t="s">
        <v>2540</v>
      </c>
      <c r="D64" s="5647" t="s">
        <v>2541</v>
      </c>
      <c r="E64" s="5647" t="s">
        <v>2542</v>
      </c>
      <c r="F64" s="5647" t="s">
        <v>2533</v>
      </c>
      <c r="G64" s="5647" t="s">
        <v>2543</v>
      </c>
      <c r="H64" s="5647" t="s">
        <v>28</v>
      </c>
      <c r="I64" s="5647" t="s">
        <v>827</v>
      </c>
    </row>
    <row customHeight="1" ht="11.25">
      <c r="A65" s="5647" t="s">
        <v>2274</v>
      </c>
      <c r="B65" s="5647" t="s">
        <v>16</v>
      </c>
      <c r="C65" s="5647" t="s">
        <v>2544</v>
      </c>
      <c r="D65" s="5647" t="s">
        <v>2545</v>
      </c>
      <c r="E65" s="5647" t="s">
        <v>2546</v>
      </c>
      <c r="F65" s="5647" t="s">
        <v>2547</v>
      </c>
      <c r="G65" s="5647" t="s">
        <v>2548</v>
      </c>
      <c r="H65" s="5647" t="s">
        <v>28</v>
      </c>
      <c r="I65" s="5647" t="s">
        <v>827</v>
      </c>
    </row>
    <row customHeight="1" ht="11.25">
      <c r="A66" s="5647" t="s">
        <v>2274</v>
      </c>
      <c r="B66" s="5647" t="s">
        <v>16</v>
      </c>
      <c r="C66" s="5647" t="s">
        <v>2549</v>
      </c>
      <c r="D66" s="5647" t="s">
        <v>2550</v>
      </c>
      <c r="E66" s="5647" t="s">
        <v>52</v>
      </c>
      <c r="F66" s="5647" t="s">
        <v>2551</v>
      </c>
      <c r="G66" s="5647" t="s">
        <v>2552</v>
      </c>
      <c r="H66" s="5647" t="s">
        <v>28</v>
      </c>
      <c r="I66" s="5647" t="s">
        <v>827</v>
      </c>
    </row>
    <row customHeight="1" ht="11.25">
      <c r="A67" s="5647" t="s">
        <v>2274</v>
      </c>
      <c r="B67" s="5647" t="s">
        <v>16</v>
      </c>
      <c r="C67" s="5647" t="s">
        <v>2553</v>
      </c>
      <c r="D67" s="5647" t="s">
        <v>2554</v>
      </c>
      <c r="E67" s="5647" t="s">
        <v>2555</v>
      </c>
      <c r="F67" s="5647" t="s">
        <v>2317</v>
      </c>
      <c r="G67" s="5647" t="s">
        <v>28</v>
      </c>
      <c r="H67" s="5647" t="s">
        <v>28</v>
      </c>
      <c r="I67" s="5647" t="s">
        <v>827</v>
      </c>
    </row>
    <row customHeight="1" ht="11.25">
      <c r="A68" s="5647" t="s">
        <v>2274</v>
      </c>
      <c r="B68" s="5647" t="s">
        <v>16</v>
      </c>
      <c r="C68" s="5647" t="s">
        <v>2556</v>
      </c>
      <c r="D68" s="5647" t="s">
        <v>2557</v>
      </c>
      <c r="E68" s="5647" t="s">
        <v>2558</v>
      </c>
      <c r="F68" s="5647" t="s">
        <v>2559</v>
      </c>
      <c r="G68" s="5647" t="s">
        <v>2560</v>
      </c>
      <c r="H68" s="5647" t="s">
        <v>28</v>
      </c>
      <c r="I68" s="5647" t="s">
        <v>827</v>
      </c>
    </row>
    <row customHeight="1" ht="11.25">
      <c r="A69" s="5647" t="s">
        <v>2274</v>
      </c>
      <c r="B69" s="5647" t="s">
        <v>16</v>
      </c>
      <c r="C69" s="5647" t="s">
        <v>28</v>
      </c>
      <c r="D69" s="5647" t="s">
        <v>2561</v>
      </c>
      <c r="E69" s="5647" t="s">
        <v>2562</v>
      </c>
      <c r="F69" s="5647" t="s">
        <v>2563</v>
      </c>
      <c r="G69" s="5647" t="s">
        <v>28</v>
      </c>
      <c r="H69" s="5647" t="s">
        <v>28</v>
      </c>
      <c r="I69" s="5647" t="s">
        <v>827</v>
      </c>
    </row>
    <row customHeight="1" ht="11.25">
      <c r="A70" s="5647" t="s">
        <v>2274</v>
      </c>
      <c r="B70" s="5647" t="s">
        <v>16</v>
      </c>
      <c r="C70" s="5647" t="s">
        <v>2564</v>
      </c>
      <c r="D70" s="5647" t="s">
        <v>2565</v>
      </c>
      <c r="E70" s="5647" t="s">
        <v>2566</v>
      </c>
      <c r="F70" s="5647" t="s">
        <v>2567</v>
      </c>
      <c r="G70" s="5647" t="s">
        <v>2568</v>
      </c>
      <c r="H70" s="5647" t="s">
        <v>28</v>
      </c>
      <c r="I70" s="5647" t="s">
        <v>827</v>
      </c>
    </row>
    <row customHeight="1" ht="11.25">
      <c r="A71" s="5647" t="s">
        <v>2274</v>
      </c>
      <c r="B71" s="5647" t="s">
        <v>16</v>
      </c>
      <c r="C71" s="5647" t="s">
        <v>2569</v>
      </c>
      <c r="D71" s="5647" t="s">
        <v>2570</v>
      </c>
      <c r="E71" s="5647" t="s">
        <v>2571</v>
      </c>
      <c r="F71" s="5647" t="s">
        <v>2572</v>
      </c>
      <c r="G71" s="5647" t="s">
        <v>28</v>
      </c>
      <c r="H71" s="5647" t="s">
        <v>28</v>
      </c>
      <c r="I71" s="5647" t="s">
        <v>827</v>
      </c>
    </row>
    <row customHeight="1" ht="11.25">
      <c r="A72" s="5647" t="s">
        <v>2274</v>
      </c>
      <c r="B72" s="5647" t="s">
        <v>16</v>
      </c>
      <c r="C72" s="5647" t="s">
        <v>2573</v>
      </c>
      <c r="D72" s="5647" t="s">
        <v>2574</v>
      </c>
      <c r="E72" s="5647" t="s">
        <v>2575</v>
      </c>
      <c r="F72" s="5647" t="s">
        <v>2576</v>
      </c>
      <c r="G72" s="5647" t="s">
        <v>2577</v>
      </c>
      <c r="H72" s="5647" t="s">
        <v>28</v>
      </c>
      <c r="I72" s="5647" t="s">
        <v>827</v>
      </c>
    </row>
    <row customHeight="1" ht="11.25">
      <c r="A73" s="5647" t="s">
        <v>2274</v>
      </c>
      <c r="B73" s="5647" t="s">
        <v>16</v>
      </c>
      <c r="C73" s="5647" t="s">
        <v>2578</v>
      </c>
      <c r="D73" s="5647" t="s">
        <v>2579</v>
      </c>
      <c r="E73" s="5647" t="s">
        <v>2580</v>
      </c>
      <c r="F73" s="5647" t="s">
        <v>2563</v>
      </c>
      <c r="G73" s="5647" t="s">
        <v>28</v>
      </c>
      <c r="H73" s="5647" t="s">
        <v>28</v>
      </c>
      <c r="I73" s="5647" t="s">
        <v>827</v>
      </c>
    </row>
    <row customHeight="1" ht="11.25">
      <c r="A74" s="5647" t="s">
        <v>2274</v>
      </c>
      <c r="B74" s="5647" t="s">
        <v>16</v>
      </c>
      <c r="C74" s="5647" t="s">
        <v>2581</v>
      </c>
      <c r="D74" s="5647" t="s">
        <v>2582</v>
      </c>
      <c r="E74" s="5647" t="s">
        <v>2583</v>
      </c>
      <c r="F74" s="5647" t="s">
        <v>2584</v>
      </c>
      <c r="G74" s="5647" t="s">
        <v>2399</v>
      </c>
      <c r="H74" s="5647" t="s">
        <v>28</v>
      </c>
      <c r="I74" s="5647" t="s">
        <v>827</v>
      </c>
    </row>
    <row customHeight="1" ht="11.25">
      <c r="A75" s="5647" t="s">
        <v>2274</v>
      </c>
      <c r="B75" s="5647" t="s">
        <v>16</v>
      </c>
      <c r="C75" s="5647" t="s">
        <v>2585</v>
      </c>
      <c r="D75" s="5647" t="s">
        <v>2586</v>
      </c>
      <c r="E75" s="5647" t="s">
        <v>2587</v>
      </c>
      <c r="F75" s="5647" t="s">
        <v>2588</v>
      </c>
      <c r="G75" s="5647" t="s">
        <v>2589</v>
      </c>
      <c r="H75" s="5647" t="s">
        <v>28</v>
      </c>
      <c r="I75" s="5647" t="s">
        <v>827</v>
      </c>
    </row>
    <row customHeight="1" ht="11.25">
      <c r="A76" s="5647" t="s">
        <v>2274</v>
      </c>
      <c r="B76" s="5647" t="s">
        <v>16</v>
      </c>
      <c r="C76" s="5647" t="s">
        <v>2590</v>
      </c>
      <c r="D76" s="5647" t="s">
        <v>2591</v>
      </c>
      <c r="E76" s="5647" t="s">
        <v>2592</v>
      </c>
      <c r="F76" s="5647" t="s">
        <v>2332</v>
      </c>
      <c r="G76" s="5647" t="s">
        <v>2593</v>
      </c>
      <c r="H76" s="5647" t="s">
        <v>28</v>
      </c>
      <c r="I76" s="5647" t="s">
        <v>827</v>
      </c>
    </row>
    <row customHeight="1" ht="11.25">
      <c r="A77" s="5647" t="s">
        <v>2274</v>
      </c>
      <c r="B77" s="5647" t="s">
        <v>16</v>
      </c>
      <c r="C77" s="5647" t="s">
        <v>13</v>
      </c>
      <c r="D77" s="5647" t="s">
        <v>49</v>
      </c>
      <c r="E77" s="5647" t="s">
        <v>52</v>
      </c>
      <c r="F77" s="5647" t="s">
        <v>54</v>
      </c>
      <c r="G77" s="5647" t="s">
        <v>2552</v>
      </c>
      <c r="H77" s="5647" t="s">
        <v>28</v>
      </c>
      <c r="I77" s="5647" t="s">
        <v>827</v>
      </c>
    </row>
    <row customHeight="1" ht="11.25">
      <c r="A78" s="5647" t="s">
        <v>2274</v>
      </c>
      <c r="B78" s="5647" t="s">
        <v>16</v>
      </c>
      <c r="C78" s="5647" t="s">
        <v>2311</v>
      </c>
      <c r="D78" s="5647" t="s">
        <v>2312</v>
      </c>
      <c r="E78" s="5647" t="s">
        <v>2313</v>
      </c>
      <c r="F78" s="5647" t="s">
        <v>2283</v>
      </c>
      <c r="G78" s="5647" t="s">
        <v>28</v>
      </c>
      <c r="H78" s="5647" t="s">
        <v>28</v>
      </c>
      <c r="I78" s="5647" t="s">
        <v>913</v>
      </c>
    </row>
    <row customHeight="1" ht="11.25">
      <c r="A79" s="5647" t="s">
        <v>2274</v>
      </c>
      <c r="B79" s="5647" t="s">
        <v>16</v>
      </c>
      <c r="C79" s="5647" t="s">
        <v>2319</v>
      </c>
      <c r="D79" s="5647" t="s">
        <v>2320</v>
      </c>
      <c r="E79" s="5647" t="s">
        <v>2321</v>
      </c>
      <c r="F79" s="5647" t="s">
        <v>2322</v>
      </c>
      <c r="G79" s="5647" t="s">
        <v>2323</v>
      </c>
      <c r="H79" s="5647" t="s">
        <v>28</v>
      </c>
      <c r="I79" s="5647" t="s">
        <v>913</v>
      </c>
    </row>
    <row customHeight="1" ht="11.25">
      <c r="A80" s="5647" t="s">
        <v>2274</v>
      </c>
      <c r="B80" s="5647" t="s">
        <v>16</v>
      </c>
      <c r="C80" s="5647" t="s">
        <v>2324</v>
      </c>
      <c r="D80" s="5647" t="s">
        <v>2325</v>
      </c>
      <c r="E80" s="5647" t="s">
        <v>2326</v>
      </c>
      <c r="F80" s="5647" t="s">
        <v>2327</v>
      </c>
      <c r="G80" s="5647" t="s">
        <v>2328</v>
      </c>
      <c r="H80" s="5647" t="s">
        <v>28</v>
      </c>
      <c r="I80" s="5647" t="s">
        <v>913</v>
      </c>
    </row>
    <row customHeight="1" ht="11.25">
      <c r="A81" s="5647" t="s">
        <v>2274</v>
      </c>
      <c r="B81" s="5647" t="s">
        <v>16</v>
      </c>
      <c r="C81" s="5647" t="s">
        <v>2333</v>
      </c>
      <c r="D81" s="5647" t="s">
        <v>2334</v>
      </c>
      <c r="E81" s="5647" t="s">
        <v>2335</v>
      </c>
      <c r="F81" s="5647" t="s">
        <v>2336</v>
      </c>
      <c r="G81" s="5647" t="s">
        <v>2337</v>
      </c>
      <c r="H81" s="5647" t="s">
        <v>28</v>
      </c>
      <c r="I81" s="5647" t="s">
        <v>913</v>
      </c>
    </row>
    <row customHeight="1" ht="11.25">
      <c r="A82" s="5647" t="s">
        <v>2274</v>
      </c>
      <c r="B82" s="5647" t="s">
        <v>16</v>
      </c>
      <c r="C82" s="5647" t="s">
        <v>2351</v>
      </c>
      <c r="D82" s="5647" t="s">
        <v>2352</v>
      </c>
      <c r="E82" s="5647" t="s">
        <v>2353</v>
      </c>
      <c r="F82" s="5647" t="s">
        <v>2317</v>
      </c>
      <c r="G82" s="5647" t="s">
        <v>2354</v>
      </c>
      <c r="H82" s="5647" t="s">
        <v>28</v>
      </c>
      <c r="I82" s="5647" t="s">
        <v>913</v>
      </c>
    </row>
    <row customHeight="1" ht="11.25">
      <c r="A83" s="5647" t="s">
        <v>2274</v>
      </c>
      <c r="B83" s="5647" t="s">
        <v>16</v>
      </c>
      <c r="C83" s="5647" t="s">
        <v>2355</v>
      </c>
      <c r="D83" s="5647" t="s">
        <v>2356</v>
      </c>
      <c r="E83" s="5647" t="s">
        <v>2357</v>
      </c>
      <c r="F83" s="5647" t="s">
        <v>2317</v>
      </c>
      <c r="G83" s="5647" t="s">
        <v>2358</v>
      </c>
      <c r="H83" s="5647" t="s">
        <v>28</v>
      </c>
      <c r="I83" s="5647" t="s">
        <v>913</v>
      </c>
    </row>
    <row customHeight="1" ht="11.25">
      <c r="A84" s="5647" t="s">
        <v>2274</v>
      </c>
      <c r="B84" s="5647" t="s">
        <v>16</v>
      </c>
      <c r="C84" s="5647" t="s">
        <v>2363</v>
      </c>
      <c r="D84" s="5647" t="s">
        <v>2364</v>
      </c>
      <c r="E84" s="5647" t="s">
        <v>2365</v>
      </c>
      <c r="F84" s="5647" t="s">
        <v>2366</v>
      </c>
      <c r="G84" s="5647" t="s">
        <v>2367</v>
      </c>
      <c r="H84" s="5647" t="s">
        <v>28</v>
      </c>
      <c r="I84" s="5647" t="s">
        <v>913</v>
      </c>
    </row>
    <row customHeight="1" ht="11.25">
      <c r="A85" s="5647" t="s">
        <v>2274</v>
      </c>
      <c r="B85" s="5647" t="s">
        <v>16</v>
      </c>
      <c r="C85" s="5647" t="s">
        <v>2392</v>
      </c>
      <c r="D85" s="5647" t="s">
        <v>2393</v>
      </c>
      <c r="E85" s="5647" t="s">
        <v>2394</v>
      </c>
      <c r="F85" s="5647" t="s">
        <v>2292</v>
      </c>
      <c r="G85" s="5647" t="s">
        <v>2395</v>
      </c>
      <c r="H85" s="5647" t="s">
        <v>28</v>
      </c>
      <c r="I85" s="5647" t="s">
        <v>913</v>
      </c>
    </row>
    <row customHeight="1" ht="11.25">
      <c r="A86" s="5647" t="s">
        <v>2274</v>
      </c>
      <c r="B86" s="5647" t="s">
        <v>16</v>
      </c>
      <c r="C86" s="5647" t="s">
        <v>2415</v>
      </c>
      <c r="D86" s="5647" t="s">
        <v>2416</v>
      </c>
      <c r="E86" s="5647" t="s">
        <v>2417</v>
      </c>
      <c r="F86" s="5647" t="s">
        <v>2418</v>
      </c>
      <c r="G86" s="5647" t="s">
        <v>2419</v>
      </c>
      <c r="H86" s="5647" t="s">
        <v>28</v>
      </c>
      <c r="I86" s="5647" t="s">
        <v>913</v>
      </c>
    </row>
    <row customHeight="1" ht="11.25">
      <c r="A87" s="5647" t="s">
        <v>2274</v>
      </c>
      <c r="B87" s="5647" t="s">
        <v>16</v>
      </c>
      <c r="C87" s="5647" t="s">
        <v>2434</v>
      </c>
      <c r="D87" s="5647" t="s">
        <v>2435</v>
      </c>
      <c r="E87" s="5647" t="s">
        <v>2296</v>
      </c>
      <c r="F87" s="5647" t="s">
        <v>2436</v>
      </c>
      <c r="G87" s="5647" t="s">
        <v>2437</v>
      </c>
      <c r="H87" s="5647" t="s">
        <v>28</v>
      </c>
      <c r="I87" s="5647" t="s">
        <v>913</v>
      </c>
    </row>
    <row customHeight="1" ht="11.25">
      <c r="A88" s="5647" t="s">
        <v>2274</v>
      </c>
      <c r="B88" s="5647" t="s">
        <v>16</v>
      </c>
      <c r="C88" s="5647" t="s">
        <v>2438</v>
      </c>
      <c r="D88" s="5647" t="s">
        <v>2439</v>
      </c>
      <c r="E88" s="5647" t="s">
        <v>2440</v>
      </c>
      <c r="F88" s="5647" t="s">
        <v>2292</v>
      </c>
      <c r="G88" s="5647" t="s">
        <v>2441</v>
      </c>
      <c r="H88" s="5647" t="s">
        <v>28</v>
      </c>
      <c r="I88" s="5647" t="s">
        <v>913</v>
      </c>
    </row>
    <row customHeight="1" ht="11.25">
      <c r="A89" s="5647" t="s">
        <v>2274</v>
      </c>
      <c r="B89" s="5647" t="s">
        <v>16</v>
      </c>
      <c r="C89" s="5647" t="s">
        <v>2447</v>
      </c>
      <c r="D89" s="5647" t="s">
        <v>2448</v>
      </c>
      <c r="E89" s="5647" t="s">
        <v>2449</v>
      </c>
      <c r="F89" s="5647" t="s">
        <v>2305</v>
      </c>
      <c r="G89" s="5647" t="s">
        <v>28</v>
      </c>
      <c r="H89" s="5647" t="s">
        <v>28</v>
      </c>
      <c r="I89" s="5647" t="s">
        <v>913</v>
      </c>
    </row>
    <row customHeight="1" ht="11.25">
      <c r="A90" s="5647" t="s">
        <v>2274</v>
      </c>
      <c r="B90" s="5647" t="s">
        <v>16</v>
      </c>
      <c r="C90" s="5647" t="s">
        <v>2455</v>
      </c>
      <c r="D90" s="5647" t="s">
        <v>2456</v>
      </c>
      <c r="E90" s="5647" t="s">
        <v>2457</v>
      </c>
      <c r="F90" s="5647" t="s">
        <v>2341</v>
      </c>
      <c r="G90" s="5647" t="s">
        <v>2458</v>
      </c>
      <c r="H90" s="5647" t="s">
        <v>28</v>
      </c>
      <c r="I90" s="5647" t="s">
        <v>913</v>
      </c>
    </row>
    <row customHeight="1" ht="11.25">
      <c r="A91" s="5647" t="s">
        <v>2274</v>
      </c>
      <c r="B91" s="5647" t="s">
        <v>16</v>
      </c>
      <c r="C91" s="5647" t="s">
        <v>2464</v>
      </c>
      <c r="D91" s="5647" t="s">
        <v>2465</v>
      </c>
      <c r="E91" s="5647" t="s">
        <v>2466</v>
      </c>
      <c r="F91" s="5647" t="s">
        <v>2327</v>
      </c>
      <c r="G91" s="5647" t="s">
        <v>28</v>
      </c>
      <c r="H91" s="5647" t="s">
        <v>28</v>
      </c>
      <c r="I91" s="5647" t="s">
        <v>913</v>
      </c>
    </row>
    <row customHeight="1" ht="11.25">
      <c r="A92" s="5647" t="s">
        <v>2274</v>
      </c>
      <c r="B92" s="5647" t="s">
        <v>16</v>
      </c>
      <c r="C92" s="5647" t="s">
        <v>2467</v>
      </c>
      <c r="D92" s="5647" t="s">
        <v>2468</v>
      </c>
      <c r="E92" s="5647" t="s">
        <v>2469</v>
      </c>
      <c r="F92" s="5647" t="s">
        <v>2292</v>
      </c>
      <c r="G92" s="5647" t="s">
        <v>28</v>
      </c>
      <c r="H92" s="5647" t="s">
        <v>28</v>
      </c>
      <c r="I92" s="5647" t="s">
        <v>913</v>
      </c>
    </row>
    <row customHeight="1" ht="11.25">
      <c r="A93" s="5647" t="s">
        <v>2274</v>
      </c>
      <c r="B93" s="5647" t="s">
        <v>16</v>
      </c>
      <c r="C93" s="5647" t="s">
        <v>2474</v>
      </c>
      <c r="D93" s="5647" t="s">
        <v>2475</v>
      </c>
      <c r="E93" s="5647" t="s">
        <v>2476</v>
      </c>
      <c r="F93" s="5647" t="s">
        <v>2477</v>
      </c>
      <c r="G93" s="5647" t="s">
        <v>2478</v>
      </c>
      <c r="H93" s="5647" t="s">
        <v>28</v>
      </c>
      <c r="I93" s="5647" t="s">
        <v>913</v>
      </c>
    </row>
    <row customHeight="1" ht="11.25">
      <c r="A94" s="5647" t="s">
        <v>2274</v>
      </c>
      <c r="B94" s="5647" t="s">
        <v>16</v>
      </c>
      <c r="C94" s="5647" t="s">
        <v>2479</v>
      </c>
      <c r="D94" s="5647" t="s">
        <v>2480</v>
      </c>
      <c r="E94" s="5647" t="s">
        <v>2481</v>
      </c>
      <c r="F94" s="5647" t="s">
        <v>2278</v>
      </c>
      <c r="G94" s="5647" t="s">
        <v>2482</v>
      </c>
      <c r="H94" s="5647" t="s">
        <v>28</v>
      </c>
      <c r="I94" s="5647" t="s">
        <v>913</v>
      </c>
    </row>
    <row customHeight="1" ht="11.25">
      <c r="A95" s="5647" t="s">
        <v>2274</v>
      </c>
      <c r="B95" s="5647" t="s">
        <v>16</v>
      </c>
      <c r="C95" s="5647" t="s">
        <v>2490</v>
      </c>
      <c r="D95" s="5647" t="s">
        <v>2491</v>
      </c>
      <c r="E95" s="5647" t="s">
        <v>2492</v>
      </c>
      <c r="F95" s="5647" t="s">
        <v>2292</v>
      </c>
      <c r="G95" s="5647" t="s">
        <v>28</v>
      </c>
      <c r="H95" s="5647" t="s">
        <v>28</v>
      </c>
      <c r="I95" s="5647" t="s">
        <v>913</v>
      </c>
    </row>
    <row customHeight="1" ht="11.25">
      <c r="A96" s="5647" t="s">
        <v>2274</v>
      </c>
      <c r="B96" s="5647" t="s">
        <v>16</v>
      </c>
      <c r="C96" s="5647" t="s">
        <v>2493</v>
      </c>
      <c r="D96" s="5647" t="s">
        <v>2494</v>
      </c>
      <c r="E96" s="5647" t="s">
        <v>2495</v>
      </c>
      <c r="F96" s="5647" t="s">
        <v>2322</v>
      </c>
      <c r="G96" s="5647" t="s">
        <v>2496</v>
      </c>
      <c r="H96" s="5647" t="s">
        <v>28</v>
      </c>
      <c r="I96" s="5647" t="s">
        <v>913</v>
      </c>
    </row>
    <row customHeight="1" ht="11.25">
      <c r="A97" s="5647" t="s">
        <v>2274</v>
      </c>
      <c r="B97" s="5647" t="s">
        <v>16</v>
      </c>
      <c r="C97" s="5647" t="s">
        <v>2497</v>
      </c>
      <c r="D97" s="5647" t="s">
        <v>2498</v>
      </c>
      <c r="E97" s="5647" t="s">
        <v>2499</v>
      </c>
      <c r="F97" s="5647" t="s">
        <v>2283</v>
      </c>
      <c r="G97" s="5647" t="s">
        <v>2500</v>
      </c>
      <c r="H97" s="5647" t="s">
        <v>28</v>
      </c>
      <c r="I97" s="5647" t="s">
        <v>913</v>
      </c>
    </row>
    <row customHeight="1" ht="11.25">
      <c r="A98" s="5647" t="s">
        <v>2274</v>
      </c>
      <c r="B98" s="5647" t="s">
        <v>16</v>
      </c>
      <c r="C98" s="5647" t="s">
        <v>2505</v>
      </c>
      <c r="D98" s="5647" t="s">
        <v>2506</v>
      </c>
      <c r="E98" s="5647" t="s">
        <v>2507</v>
      </c>
      <c r="F98" s="5647" t="s">
        <v>2508</v>
      </c>
      <c r="G98" s="5647" t="s">
        <v>2509</v>
      </c>
      <c r="H98" s="5647" t="s">
        <v>28</v>
      </c>
      <c r="I98" s="5647" t="s">
        <v>913</v>
      </c>
    </row>
    <row customHeight="1" ht="11.25">
      <c r="A99" s="5647" t="s">
        <v>2274</v>
      </c>
      <c r="B99" s="5647" t="s">
        <v>16</v>
      </c>
      <c r="C99" s="5647" t="s">
        <v>2522</v>
      </c>
      <c r="D99" s="5647" t="s">
        <v>2523</v>
      </c>
      <c r="E99" s="5647" t="s">
        <v>2524</v>
      </c>
      <c r="F99" s="5647" t="s">
        <v>2305</v>
      </c>
      <c r="G99" s="5647" t="s">
        <v>2525</v>
      </c>
      <c r="H99" s="5647" t="s">
        <v>28</v>
      </c>
      <c r="I99" s="5647" t="s">
        <v>913</v>
      </c>
    </row>
    <row customHeight="1" ht="11.25">
      <c r="A100" s="5647" t="s">
        <v>2274</v>
      </c>
      <c r="B100" s="5647" t="s">
        <v>16</v>
      </c>
      <c r="C100" s="5647" t="s">
        <v>2544</v>
      </c>
      <c r="D100" s="5647" t="s">
        <v>2545</v>
      </c>
      <c r="E100" s="5647" t="s">
        <v>2546</v>
      </c>
      <c r="F100" s="5647" t="s">
        <v>2547</v>
      </c>
      <c r="G100" s="5647" t="s">
        <v>2548</v>
      </c>
      <c r="H100" s="5647" t="s">
        <v>28</v>
      </c>
      <c r="I100" s="5647" t="s">
        <v>913</v>
      </c>
    </row>
    <row customHeight="1" ht="11.25">
      <c r="A101" s="5647" t="s">
        <v>2274</v>
      </c>
      <c r="B101" s="5647" t="s">
        <v>16</v>
      </c>
      <c r="C101" s="5647" t="s">
        <v>2549</v>
      </c>
      <c r="D101" s="5647" t="s">
        <v>2550</v>
      </c>
      <c r="E101" s="5647" t="s">
        <v>52</v>
      </c>
      <c r="F101" s="5647" t="s">
        <v>2551</v>
      </c>
      <c r="G101" s="5647" t="s">
        <v>2552</v>
      </c>
      <c r="H101" s="5647" t="s">
        <v>28</v>
      </c>
      <c r="I101" s="5647" t="s">
        <v>913</v>
      </c>
    </row>
    <row customHeight="1" ht="11.25">
      <c r="A102" s="5647" t="s">
        <v>2274</v>
      </c>
      <c r="B102" s="5647" t="s">
        <v>16</v>
      </c>
      <c r="C102" s="5647" t="s">
        <v>28</v>
      </c>
      <c r="D102" s="5647" t="s">
        <v>2561</v>
      </c>
      <c r="E102" s="5647" t="s">
        <v>2562</v>
      </c>
      <c r="F102" s="5647" t="s">
        <v>2563</v>
      </c>
      <c r="G102" s="5647" t="s">
        <v>28</v>
      </c>
      <c r="H102" s="5647" t="s">
        <v>28</v>
      </c>
      <c r="I102" s="5647" t="s">
        <v>913</v>
      </c>
    </row>
    <row customHeight="1" ht="11.25">
      <c r="A103" s="5647" t="s">
        <v>2274</v>
      </c>
      <c r="B103" s="5647" t="s">
        <v>16</v>
      </c>
      <c r="C103" s="5647" t="s">
        <v>2564</v>
      </c>
      <c r="D103" s="5647" t="s">
        <v>2565</v>
      </c>
      <c r="E103" s="5647" t="s">
        <v>2566</v>
      </c>
      <c r="F103" s="5647" t="s">
        <v>2567</v>
      </c>
      <c r="G103" s="5647" t="s">
        <v>2568</v>
      </c>
      <c r="H103" s="5647" t="s">
        <v>28</v>
      </c>
      <c r="I103" s="5647" t="s">
        <v>913</v>
      </c>
    </row>
    <row customHeight="1" ht="11.25">
      <c r="A104" s="5647" t="s">
        <v>2274</v>
      </c>
      <c r="B104" s="5647" t="s">
        <v>16</v>
      </c>
      <c r="C104" s="5647" t="s">
        <v>2569</v>
      </c>
      <c r="D104" s="5647" t="s">
        <v>2570</v>
      </c>
      <c r="E104" s="5647" t="s">
        <v>2571</v>
      </c>
      <c r="F104" s="5647" t="s">
        <v>2572</v>
      </c>
      <c r="G104" s="5647" t="s">
        <v>28</v>
      </c>
      <c r="H104" s="5647" t="s">
        <v>28</v>
      </c>
      <c r="I104" s="5647" t="s">
        <v>913</v>
      </c>
    </row>
    <row customHeight="1" ht="11.25">
      <c r="A105" s="5647" t="s">
        <v>2274</v>
      </c>
      <c r="B105" s="5647" t="s">
        <v>16</v>
      </c>
      <c r="C105" s="5647" t="s">
        <v>2573</v>
      </c>
      <c r="D105" s="5647" t="s">
        <v>2574</v>
      </c>
      <c r="E105" s="5647" t="s">
        <v>2575</v>
      </c>
      <c r="F105" s="5647" t="s">
        <v>2576</v>
      </c>
      <c r="G105" s="5647" t="s">
        <v>2577</v>
      </c>
      <c r="H105" s="5647" t="s">
        <v>28</v>
      </c>
      <c r="I105" s="5647" t="s">
        <v>913</v>
      </c>
    </row>
    <row customHeight="1" ht="11.25">
      <c r="A106" s="5647" t="s">
        <v>2274</v>
      </c>
      <c r="B106" s="5647" t="s">
        <v>16</v>
      </c>
      <c r="C106" s="5647" t="s">
        <v>2578</v>
      </c>
      <c r="D106" s="5647" t="s">
        <v>2579</v>
      </c>
      <c r="E106" s="5647" t="s">
        <v>2580</v>
      </c>
      <c r="F106" s="5647" t="s">
        <v>2563</v>
      </c>
      <c r="G106" s="5647" t="s">
        <v>28</v>
      </c>
      <c r="H106" s="5647" t="s">
        <v>28</v>
      </c>
      <c r="I106" s="5647" t="s">
        <v>913</v>
      </c>
    </row>
    <row customHeight="1" ht="11.25">
      <c r="A107" s="5647" t="s">
        <v>2274</v>
      </c>
      <c r="B107" s="5647" t="s">
        <v>16</v>
      </c>
      <c r="C107" s="5647" t="s">
        <v>2581</v>
      </c>
      <c r="D107" s="5647" t="s">
        <v>2582</v>
      </c>
      <c r="E107" s="5647" t="s">
        <v>2583</v>
      </c>
      <c r="F107" s="5647" t="s">
        <v>2584</v>
      </c>
      <c r="G107" s="5647" t="s">
        <v>2399</v>
      </c>
      <c r="H107" s="5647" t="s">
        <v>28</v>
      </c>
      <c r="I107" s="5647" t="s">
        <v>913</v>
      </c>
    </row>
    <row customHeight="1" ht="11.25">
      <c r="A108" s="5647" t="s">
        <v>2274</v>
      </c>
      <c r="B108" s="5647" t="s">
        <v>16</v>
      </c>
      <c r="C108" s="5647" t="s">
        <v>2590</v>
      </c>
      <c r="D108" s="5647" t="s">
        <v>2591</v>
      </c>
      <c r="E108" s="5647" t="s">
        <v>2592</v>
      </c>
      <c r="F108" s="5647" t="s">
        <v>2332</v>
      </c>
      <c r="G108" s="5647" t="s">
        <v>2593</v>
      </c>
      <c r="H108" s="5647" t="s">
        <v>28</v>
      </c>
      <c r="I108" s="5647" t="s">
        <v>913</v>
      </c>
    </row>
    <row customHeight="1" ht="11.25">
      <c r="A109" s="5647" t="s">
        <v>2274</v>
      </c>
      <c r="B109" s="5647" t="s">
        <v>16</v>
      </c>
      <c r="C109" s="5647" t="s">
        <v>13</v>
      </c>
      <c r="D109" s="5647" t="s">
        <v>49</v>
      </c>
      <c r="E109" s="5647" t="s">
        <v>52</v>
      </c>
      <c r="F109" s="5647" t="s">
        <v>54</v>
      </c>
      <c r="G109" s="5647" t="s">
        <v>2552</v>
      </c>
      <c r="H109" s="5647" t="s">
        <v>28</v>
      </c>
      <c r="I109" s="5647" t="s">
        <v>913</v>
      </c>
    </row>
    <row customHeight="1" ht="11.25">
      <c r="A110" s="5647" t="s">
        <v>2274</v>
      </c>
      <c r="B110" s="5647" t="s">
        <v>16</v>
      </c>
      <c r="C110" s="5647" t="s">
        <v>2594</v>
      </c>
      <c r="D110" s="5647" t="s">
        <v>2595</v>
      </c>
      <c r="E110" s="5647" t="s">
        <v>2596</v>
      </c>
      <c r="F110" s="5647" t="s">
        <v>2283</v>
      </c>
      <c r="G110" s="5647" t="s">
        <v>2597</v>
      </c>
      <c r="H110" s="5647" t="s">
        <v>28</v>
      </c>
      <c r="I110" s="5647" t="s">
        <v>873</v>
      </c>
    </row>
    <row customHeight="1" ht="11.25">
      <c r="A111" s="5647" t="s">
        <v>2274</v>
      </c>
      <c r="B111" s="5647" t="s">
        <v>16</v>
      </c>
      <c r="C111" s="5647" t="s">
        <v>2598</v>
      </c>
      <c r="D111" s="5647" t="s">
        <v>2599</v>
      </c>
      <c r="E111" s="5647" t="s">
        <v>2600</v>
      </c>
      <c r="F111" s="5647" t="s">
        <v>2317</v>
      </c>
      <c r="G111" s="5647" t="s">
        <v>2601</v>
      </c>
      <c r="H111" s="5647" t="s">
        <v>28</v>
      </c>
      <c r="I111" s="5647" t="s">
        <v>873</v>
      </c>
    </row>
    <row customHeight="1" ht="11.25">
      <c r="A112" s="5647" t="s">
        <v>2274</v>
      </c>
      <c r="B112" s="5647" t="s">
        <v>16</v>
      </c>
      <c r="C112" s="5647" t="s">
        <v>2285</v>
      </c>
      <c r="D112" s="5647" t="s">
        <v>2286</v>
      </c>
      <c r="E112" s="5647" t="s">
        <v>2287</v>
      </c>
      <c r="F112" s="5647" t="s">
        <v>2283</v>
      </c>
      <c r="G112" s="5647" t="s">
        <v>2288</v>
      </c>
      <c r="H112" s="5647" t="s">
        <v>28</v>
      </c>
      <c r="I112" s="5647" t="s">
        <v>873</v>
      </c>
    </row>
    <row customHeight="1" ht="11.25">
      <c r="A113" s="5647" t="s">
        <v>2274</v>
      </c>
      <c r="B113" s="5647" t="s">
        <v>16</v>
      </c>
      <c r="C113" s="5647" t="s">
        <v>2602</v>
      </c>
      <c r="D113" s="5647" t="s">
        <v>2603</v>
      </c>
      <c r="E113" s="5647" t="s">
        <v>2604</v>
      </c>
      <c r="F113" s="5647" t="s">
        <v>2563</v>
      </c>
      <c r="G113" s="5647" t="s">
        <v>2605</v>
      </c>
      <c r="H113" s="5647" t="s">
        <v>28</v>
      </c>
      <c r="I113" s="5647" t="s">
        <v>873</v>
      </c>
    </row>
    <row customHeight="1" ht="11.25">
      <c r="A114" s="5647" t="s">
        <v>2274</v>
      </c>
      <c r="B114" s="5647" t="s">
        <v>16</v>
      </c>
      <c r="C114" s="5647" t="s">
        <v>2338</v>
      </c>
      <c r="D114" s="5647" t="s">
        <v>2339</v>
      </c>
      <c r="E114" s="5647" t="s">
        <v>2340</v>
      </c>
      <c r="F114" s="5647" t="s">
        <v>2341</v>
      </c>
      <c r="G114" s="5647" t="s">
        <v>2342</v>
      </c>
      <c r="H114" s="5647" t="s">
        <v>28</v>
      </c>
      <c r="I114" s="5647" t="s">
        <v>873</v>
      </c>
    </row>
    <row customHeight="1" ht="11.25">
      <c r="A115" s="5647" t="s">
        <v>2274</v>
      </c>
      <c r="B115" s="5647" t="s">
        <v>16</v>
      </c>
      <c r="C115" s="5647" t="s">
        <v>2606</v>
      </c>
      <c r="D115" s="5647" t="s">
        <v>2607</v>
      </c>
      <c r="E115" s="5647" t="s">
        <v>2608</v>
      </c>
      <c r="F115" s="5647" t="s">
        <v>2563</v>
      </c>
      <c r="G115" s="5647" t="s">
        <v>2609</v>
      </c>
      <c r="H115" s="5647" t="s">
        <v>28</v>
      </c>
      <c r="I115" s="5647" t="s">
        <v>873</v>
      </c>
    </row>
    <row customHeight="1" ht="11.25">
      <c r="A116" s="5647" t="s">
        <v>2274</v>
      </c>
      <c r="B116" s="5647" t="s">
        <v>16</v>
      </c>
      <c r="C116" s="5647" t="s">
        <v>2610</v>
      </c>
      <c r="D116" s="5647" t="s">
        <v>2611</v>
      </c>
      <c r="E116" s="5647" t="s">
        <v>2612</v>
      </c>
      <c r="F116" s="5647" t="s">
        <v>2613</v>
      </c>
      <c r="G116" s="5647" t="s">
        <v>2614</v>
      </c>
      <c r="H116" s="5647" t="s">
        <v>2615</v>
      </c>
      <c r="I116" s="5647" t="s">
        <v>873</v>
      </c>
    </row>
    <row customHeight="1" ht="11.25">
      <c r="A117" s="5647" t="s">
        <v>2274</v>
      </c>
      <c r="B117" s="5647" t="s">
        <v>16</v>
      </c>
      <c r="C117" s="5647" t="s">
        <v>2616</v>
      </c>
      <c r="D117" s="5647" t="s">
        <v>2617</v>
      </c>
      <c r="E117" s="5647" t="s">
        <v>2618</v>
      </c>
      <c r="F117" s="5647" t="s">
        <v>2619</v>
      </c>
      <c r="G117" s="5647" t="s">
        <v>2620</v>
      </c>
      <c r="H117" s="5647" t="s">
        <v>28</v>
      </c>
      <c r="I117" s="5647" t="s">
        <v>873</v>
      </c>
    </row>
    <row customHeight="1" ht="11.25">
      <c r="A118" s="5647" t="s">
        <v>2274</v>
      </c>
      <c r="B118" s="5647" t="s">
        <v>16</v>
      </c>
      <c r="C118" s="5647" t="s">
        <v>2621</v>
      </c>
      <c r="D118" s="5647" t="s">
        <v>2622</v>
      </c>
      <c r="E118" s="5647" t="s">
        <v>2623</v>
      </c>
      <c r="F118" s="5647" t="s">
        <v>2619</v>
      </c>
      <c r="G118" s="5647" t="s">
        <v>2624</v>
      </c>
      <c r="H118" s="5647" t="s">
        <v>2615</v>
      </c>
      <c r="I118" s="5647" t="s">
        <v>873</v>
      </c>
    </row>
    <row customHeight="1" ht="11.25">
      <c r="A119" s="5647" t="s">
        <v>2274</v>
      </c>
      <c r="B119" s="5647" t="s">
        <v>16</v>
      </c>
      <c r="C119" s="5647" t="s">
        <v>2625</v>
      </c>
      <c r="D119" s="5647" t="s">
        <v>2626</v>
      </c>
      <c r="E119" s="5647" t="s">
        <v>2627</v>
      </c>
      <c r="F119" s="5647" t="s">
        <v>2613</v>
      </c>
      <c r="G119" s="5647" t="s">
        <v>2628</v>
      </c>
      <c r="H119" s="5647" t="s">
        <v>2615</v>
      </c>
      <c r="I119" s="5647" t="s">
        <v>873</v>
      </c>
    </row>
    <row customHeight="1" ht="11.25">
      <c r="A120" s="5647" t="s">
        <v>2274</v>
      </c>
      <c r="B120" s="5647" t="s">
        <v>16</v>
      </c>
      <c r="C120" s="5647" t="s">
        <v>2629</v>
      </c>
      <c r="D120" s="5647" t="s">
        <v>2630</v>
      </c>
      <c r="E120" s="5647" t="s">
        <v>2631</v>
      </c>
      <c r="F120" s="5647" t="s">
        <v>2533</v>
      </c>
      <c r="G120" s="5647" t="s">
        <v>2632</v>
      </c>
      <c r="H120" s="5647" t="s">
        <v>28</v>
      </c>
      <c r="I120" s="5647" t="s">
        <v>873</v>
      </c>
    </row>
    <row customHeight="1" ht="11.25">
      <c r="A121" s="5647" t="s">
        <v>2274</v>
      </c>
      <c r="B121" s="5647" t="s">
        <v>16</v>
      </c>
      <c r="C121" s="5647" t="s">
        <v>2355</v>
      </c>
      <c r="D121" s="5647" t="s">
        <v>2356</v>
      </c>
      <c r="E121" s="5647" t="s">
        <v>2357</v>
      </c>
      <c r="F121" s="5647" t="s">
        <v>2317</v>
      </c>
      <c r="G121" s="5647" t="s">
        <v>2358</v>
      </c>
      <c r="H121" s="5647" t="s">
        <v>28</v>
      </c>
      <c r="I121" s="5647" t="s">
        <v>873</v>
      </c>
    </row>
    <row customHeight="1" ht="11.25">
      <c r="A122" s="5647" t="s">
        <v>2274</v>
      </c>
      <c r="B122" s="5647" t="s">
        <v>16</v>
      </c>
      <c r="C122" s="5647" t="s">
        <v>2633</v>
      </c>
      <c r="D122" s="5647" t="s">
        <v>2634</v>
      </c>
      <c r="E122" s="5647" t="s">
        <v>2635</v>
      </c>
      <c r="F122" s="5647" t="s">
        <v>2341</v>
      </c>
      <c r="G122" s="5647" t="s">
        <v>2636</v>
      </c>
      <c r="H122" s="5647" t="s">
        <v>28</v>
      </c>
      <c r="I122" s="5647" t="s">
        <v>873</v>
      </c>
    </row>
    <row customHeight="1" ht="11.25">
      <c r="A123" s="5647" t="s">
        <v>2274</v>
      </c>
      <c r="B123" s="5647" t="s">
        <v>16</v>
      </c>
      <c r="C123" s="5647" t="s">
        <v>2637</v>
      </c>
      <c r="D123" s="5647" t="s">
        <v>2638</v>
      </c>
      <c r="E123" s="5647" t="s">
        <v>2639</v>
      </c>
      <c r="F123" s="5647" t="s">
        <v>2477</v>
      </c>
      <c r="G123" s="5647" t="s">
        <v>2640</v>
      </c>
      <c r="H123" s="5647" t="s">
        <v>2641</v>
      </c>
      <c r="I123" s="5647" t="s">
        <v>873</v>
      </c>
    </row>
    <row customHeight="1" ht="11.25">
      <c r="A124" s="5647" t="s">
        <v>2274</v>
      </c>
      <c r="B124" s="5647" t="s">
        <v>16</v>
      </c>
      <c r="C124" s="5647" t="s">
        <v>2642</v>
      </c>
      <c r="D124" s="5647" t="s">
        <v>2643</v>
      </c>
      <c r="E124" s="5647" t="s">
        <v>2644</v>
      </c>
      <c r="F124" s="5647" t="s">
        <v>595</v>
      </c>
      <c r="G124" s="5647" t="s">
        <v>2645</v>
      </c>
      <c r="H124" s="5647" t="s">
        <v>28</v>
      </c>
      <c r="I124" s="5647" t="s">
        <v>873</v>
      </c>
    </row>
    <row customHeight="1" ht="11.25">
      <c r="A125" s="5647" t="s">
        <v>2274</v>
      </c>
      <c r="B125" s="5647" t="s">
        <v>16</v>
      </c>
      <c r="C125" s="5647" t="s">
        <v>2646</v>
      </c>
      <c r="D125" s="5647" t="s">
        <v>2647</v>
      </c>
      <c r="E125" s="5647" t="s">
        <v>2648</v>
      </c>
      <c r="F125" s="5647" t="s">
        <v>2649</v>
      </c>
      <c r="G125" s="5647" t="s">
        <v>2650</v>
      </c>
      <c r="H125" s="5647" t="s">
        <v>28</v>
      </c>
      <c r="I125" s="5647" t="s">
        <v>873</v>
      </c>
    </row>
    <row customHeight="1" ht="11.25">
      <c r="A126" s="5647" t="s">
        <v>2274</v>
      </c>
      <c r="B126" s="5647" t="s">
        <v>16</v>
      </c>
      <c r="C126" s="5647" t="s">
        <v>2651</v>
      </c>
      <c r="D126" s="5647" t="s">
        <v>2652</v>
      </c>
      <c r="E126" s="5647" t="s">
        <v>2653</v>
      </c>
      <c r="F126" s="5647" t="s">
        <v>2654</v>
      </c>
      <c r="G126" s="5647" t="s">
        <v>2655</v>
      </c>
      <c r="H126" s="5647" t="s">
        <v>28</v>
      </c>
      <c r="I126" s="5647" t="s">
        <v>873</v>
      </c>
    </row>
    <row customHeight="1" ht="11.25">
      <c r="A127" s="5647" t="s">
        <v>2274</v>
      </c>
      <c r="B127" s="5647" t="s">
        <v>16</v>
      </c>
      <c r="C127" s="5647" t="s">
        <v>2656</v>
      </c>
      <c r="D127" s="5647" t="s">
        <v>2657</v>
      </c>
      <c r="E127" s="5647" t="s">
        <v>2658</v>
      </c>
      <c r="F127" s="5647" t="s">
        <v>2654</v>
      </c>
      <c r="G127" s="5647" t="s">
        <v>2659</v>
      </c>
      <c r="H127" s="5647" t="s">
        <v>28</v>
      </c>
      <c r="I127" s="5647" t="s">
        <v>873</v>
      </c>
    </row>
    <row customHeight="1" ht="11.25">
      <c r="A128" s="5647" t="s">
        <v>2274</v>
      </c>
      <c r="B128" s="5647" t="s">
        <v>16</v>
      </c>
      <c r="C128" s="5647" t="s">
        <v>2660</v>
      </c>
      <c r="D128" s="5647" t="s">
        <v>2661</v>
      </c>
      <c r="E128" s="5647" t="s">
        <v>2662</v>
      </c>
      <c r="F128" s="5647" t="s">
        <v>2663</v>
      </c>
      <c r="G128" s="5647" t="s">
        <v>2664</v>
      </c>
      <c r="H128" s="5647" t="s">
        <v>28</v>
      </c>
      <c r="I128" s="5647" t="s">
        <v>873</v>
      </c>
    </row>
    <row customHeight="1" ht="11.25">
      <c r="A129" s="5647" t="s">
        <v>2274</v>
      </c>
      <c r="B129" s="5647" t="s">
        <v>16</v>
      </c>
      <c r="C129" s="5647" t="s">
        <v>2665</v>
      </c>
      <c r="D129" s="5647" t="s">
        <v>2666</v>
      </c>
      <c r="E129" s="5647" t="s">
        <v>2667</v>
      </c>
      <c r="F129" s="5647" t="s">
        <v>2663</v>
      </c>
      <c r="G129" s="5647" t="s">
        <v>2668</v>
      </c>
      <c r="H129" s="5647" t="s">
        <v>28</v>
      </c>
      <c r="I129" s="5647" t="s">
        <v>873</v>
      </c>
    </row>
    <row customHeight="1" ht="11.25">
      <c r="A130" s="5647" t="s">
        <v>2274</v>
      </c>
      <c r="B130" s="5647" t="s">
        <v>16</v>
      </c>
      <c r="C130" s="5647" t="s">
        <v>2669</v>
      </c>
      <c r="D130" s="5647" t="s">
        <v>2670</v>
      </c>
      <c r="E130" s="5647" t="s">
        <v>2671</v>
      </c>
      <c r="F130" s="5647" t="s">
        <v>2317</v>
      </c>
      <c r="G130" s="5647" t="s">
        <v>2672</v>
      </c>
      <c r="H130" s="5647" t="s">
        <v>28</v>
      </c>
      <c r="I130" s="5647" t="s">
        <v>873</v>
      </c>
    </row>
    <row customHeight="1" ht="11.25">
      <c r="A131" s="5647" t="s">
        <v>2274</v>
      </c>
      <c r="B131" s="5647" t="s">
        <v>16</v>
      </c>
      <c r="C131" s="5647" t="s">
        <v>2673</v>
      </c>
      <c r="D131" s="5647" t="s">
        <v>2674</v>
      </c>
      <c r="E131" s="5647" t="s">
        <v>2675</v>
      </c>
      <c r="F131" s="5647" t="s">
        <v>2413</v>
      </c>
      <c r="G131" s="5647" t="s">
        <v>2676</v>
      </c>
      <c r="H131" s="5647" t="s">
        <v>28</v>
      </c>
      <c r="I131" s="5647" t="s">
        <v>873</v>
      </c>
    </row>
    <row customHeight="1" ht="11.25">
      <c r="A132" s="5647" t="s">
        <v>2274</v>
      </c>
      <c r="B132" s="5647" t="s">
        <v>16</v>
      </c>
      <c r="C132" s="5647" t="s">
        <v>2677</v>
      </c>
      <c r="D132" s="5647" t="s">
        <v>2678</v>
      </c>
      <c r="E132" s="5647" t="s">
        <v>2679</v>
      </c>
      <c r="F132" s="5647" t="s">
        <v>2613</v>
      </c>
      <c r="G132" s="5647" t="s">
        <v>2680</v>
      </c>
      <c r="H132" s="5647" t="s">
        <v>2681</v>
      </c>
      <c r="I132" s="5647" t="s">
        <v>873</v>
      </c>
    </row>
    <row customHeight="1" ht="11.25">
      <c r="A133" s="5647" t="s">
        <v>2274</v>
      </c>
      <c r="B133" s="5647" t="s">
        <v>16</v>
      </c>
      <c r="C133" s="5647" t="s">
        <v>2682</v>
      </c>
      <c r="D133" s="5647" t="s">
        <v>2683</v>
      </c>
      <c r="E133" s="5647" t="s">
        <v>2684</v>
      </c>
      <c r="F133" s="5647" t="s">
        <v>2663</v>
      </c>
      <c r="G133" s="5647" t="s">
        <v>2685</v>
      </c>
      <c r="H133" s="5647" t="s">
        <v>28</v>
      </c>
      <c r="I133" s="5647" t="s">
        <v>873</v>
      </c>
    </row>
    <row customHeight="1" ht="11.25">
      <c r="A134" s="5647" t="s">
        <v>2274</v>
      </c>
      <c r="B134" s="5647" t="s">
        <v>16</v>
      </c>
      <c r="C134" s="5647" t="s">
        <v>2410</v>
      </c>
      <c r="D134" s="5647" t="s">
        <v>2411</v>
      </c>
      <c r="E134" s="5647" t="s">
        <v>2412</v>
      </c>
      <c r="F134" s="5647" t="s">
        <v>2413</v>
      </c>
      <c r="G134" s="5647" t="s">
        <v>2414</v>
      </c>
      <c r="H134" s="5647" t="s">
        <v>28</v>
      </c>
      <c r="I134" s="5647" t="s">
        <v>873</v>
      </c>
    </row>
    <row customHeight="1" ht="11.25">
      <c r="A135" s="5647" t="s">
        <v>2274</v>
      </c>
      <c r="B135" s="5647" t="s">
        <v>16</v>
      </c>
      <c r="C135" s="5647" t="s">
        <v>2686</v>
      </c>
      <c r="D135" s="5647" t="s">
        <v>2687</v>
      </c>
      <c r="E135" s="5647" t="s">
        <v>2688</v>
      </c>
      <c r="F135" s="5647" t="s">
        <v>2619</v>
      </c>
      <c r="G135" s="5647" t="s">
        <v>2689</v>
      </c>
      <c r="H135" s="5647" t="s">
        <v>28</v>
      </c>
      <c r="I135" s="5647" t="s">
        <v>873</v>
      </c>
    </row>
    <row customHeight="1" ht="11.25">
      <c r="A136" s="5647" t="s">
        <v>2274</v>
      </c>
      <c r="B136" s="5647" t="s">
        <v>16</v>
      </c>
      <c r="C136" s="5647" t="s">
        <v>2690</v>
      </c>
      <c r="D136" s="5647" t="s">
        <v>2691</v>
      </c>
      <c r="E136" s="5647" t="s">
        <v>2692</v>
      </c>
      <c r="F136" s="5647" t="s">
        <v>2693</v>
      </c>
      <c r="G136" s="5647" t="s">
        <v>2694</v>
      </c>
      <c r="H136" s="5647" t="s">
        <v>28</v>
      </c>
      <c r="I136" s="5647" t="s">
        <v>873</v>
      </c>
    </row>
    <row customHeight="1" ht="11.25">
      <c r="A137" s="5647" t="s">
        <v>2274</v>
      </c>
      <c r="B137" s="5647" t="s">
        <v>16</v>
      </c>
      <c r="C137" s="5647" t="s">
        <v>2695</v>
      </c>
      <c r="D137" s="5647" t="s">
        <v>2691</v>
      </c>
      <c r="E137" s="5647" t="s">
        <v>2696</v>
      </c>
      <c r="F137" s="5647" t="s">
        <v>2613</v>
      </c>
      <c r="G137" s="5647" t="s">
        <v>2697</v>
      </c>
      <c r="H137" s="5647" t="s">
        <v>28</v>
      </c>
      <c r="I137" s="5647" t="s">
        <v>873</v>
      </c>
    </row>
    <row customHeight="1" ht="11.25">
      <c r="A138" s="5647" t="s">
        <v>2274</v>
      </c>
      <c r="B138" s="5647" t="s">
        <v>16</v>
      </c>
      <c r="C138" s="5647" t="s">
        <v>2698</v>
      </c>
      <c r="D138" s="5647" t="s">
        <v>2699</v>
      </c>
      <c r="E138" s="5647" t="s">
        <v>2700</v>
      </c>
      <c r="F138" s="5647" t="s">
        <v>2663</v>
      </c>
      <c r="G138" s="5647" t="s">
        <v>2701</v>
      </c>
      <c r="H138" s="5647" t="s">
        <v>28</v>
      </c>
      <c r="I138" s="5647" t="s">
        <v>873</v>
      </c>
    </row>
    <row customHeight="1" ht="11.25">
      <c r="A139" s="5647" t="s">
        <v>2274</v>
      </c>
      <c r="B139" s="5647" t="s">
        <v>16</v>
      </c>
      <c r="C139" s="5647" t="s">
        <v>2702</v>
      </c>
      <c r="D139" s="5647" t="s">
        <v>2703</v>
      </c>
      <c r="E139" s="5647" t="s">
        <v>2704</v>
      </c>
      <c r="F139" s="5647" t="s">
        <v>2613</v>
      </c>
      <c r="G139" s="5647" t="s">
        <v>2705</v>
      </c>
      <c r="H139" s="5647" t="s">
        <v>28</v>
      </c>
      <c r="I139" s="5647" t="s">
        <v>873</v>
      </c>
    </row>
    <row customHeight="1" ht="11.25">
      <c r="A140" s="5647" t="s">
        <v>2274</v>
      </c>
      <c r="B140" s="5647" t="s">
        <v>16</v>
      </c>
      <c r="C140" s="5647" t="s">
        <v>2706</v>
      </c>
      <c r="D140" s="5647" t="s">
        <v>2707</v>
      </c>
      <c r="E140" s="5647" t="s">
        <v>2708</v>
      </c>
      <c r="F140" s="5647" t="s">
        <v>2305</v>
      </c>
      <c r="G140" s="5647" t="s">
        <v>2709</v>
      </c>
      <c r="H140" s="5647" t="s">
        <v>28</v>
      </c>
      <c r="I140" s="5647" t="s">
        <v>873</v>
      </c>
    </row>
    <row customHeight="1" ht="11.25">
      <c r="A141" s="5647" t="s">
        <v>2274</v>
      </c>
      <c r="B141" s="5647" t="s">
        <v>16</v>
      </c>
      <c r="C141" s="5647" t="s">
        <v>2710</v>
      </c>
      <c r="D141" s="5647" t="s">
        <v>2711</v>
      </c>
      <c r="E141" s="5647" t="s">
        <v>2712</v>
      </c>
      <c r="F141" s="5647" t="s">
        <v>2341</v>
      </c>
      <c r="G141" s="5647" t="s">
        <v>2713</v>
      </c>
      <c r="H141" s="5647" t="s">
        <v>28</v>
      </c>
      <c r="I141" s="5647" t="s">
        <v>873</v>
      </c>
    </row>
    <row customHeight="1" ht="11.25">
      <c r="A142" s="5647" t="s">
        <v>2274</v>
      </c>
      <c r="B142" s="5647" t="s">
        <v>16</v>
      </c>
      <c r="C142" s="5647" t="s">
        <v>2714</v>
      </c>
      <c r="D142" s="5647" t="s">
        <v>2715</v>
      </c>
      <c r="E142" s="5647" t="s">
        <v>2716</v>
      </c>
      <c r="F142" s="5647" t="s">
        <v>2278</v>
      </c>
      <c r="G142" s="5647" t="s">
        <v>2717</v>
      </c>
      <c r="H142" s="5647" t="s">
        <v>28</v>
      </c>
      <c r="I142" s="5647" t="s">
        <v>873</v>
      </c>
    </row>
    <row customHeight="1" ht="11.25">
      <c r="A143" s="5647" t="s">
        <v>2274</v>
      </c>
      <c r="B143" s="5647" t="s">
        <v>16</v>
      </c>
      <c r="C143" s="5647" t="s">
        <v>2718</v>
      </c>
      <c r="D143" s="5647" t="s">
        <v>2719</v>
      </c>
      <c r="E143" s="5647" t="s">
        <v>2720</v>
      </c>
      <c r="F143" s="5647" t="s">
        <v>2693</v>
      </c>
      <c r="G143" s="5647" t="s">
        <v>2721</v>
      </c>
      <c r="H143" s="5647" t="s">
        <v>28</v>
      </c>
      <c r="I143" s="5647" t="s">
        <v>873</v>
      </c>
    </row>
    <row customHeight="1" ht="11.25">
      <c r="A144" s="5647" t="s">
        <v>2274</v>
      </c>
      <c r="B144" s="5647" t="s">
        <v>16</v>
      </c>
      <c r="C144" s="5647" t="s">
        <v>2722</v>
      </c>
      <c r="D144" s="5647" t="s">
        <v>2723</v>
      </c>
      <c r="E144" s="5647" t="s">
        <v>2724</v>
      </c>
      <c r="F144" s="5647" t="s">
        <v>2613</v>
      </c>
      <c r="G144" s="5647" t="s">
        <v>2725</v>
      </c>
      <c r="H144" s="5647" t="s">
        <v>28</v>
      </c>
      <c r="I144" s="5647" t="s">
        <v>873</v>
      </c>
    </row>
    <row customHeight="1" ht="11.25">
      <c r="A145" s="5647" t="s">
        <v>2274</v>
      </c>
      <c r="B145" s="5647" t="s">
        <v>16</v>
      </c>
      <c r="C145" s="5647" t="s">
        <v>2726</v>
      </c>
      <c r="D145" s="5647" t="s">
        <v>2727</v>
      </c>
      <c r="E145" s="5647" t="s">
        <v>2728</v>
      </c>
      <c r="F145" s="5647" t="s">
        <v>2729</v>
      </c>
      <c r="G145" s="5647" t="s">
        <v>2730</v>
      </c>
      <c r="H145" s="5647" t="s">
        <v>28</v>
      </c>
      <c r="I145" s="5647" t="s">
        <v>873</v>
      </c>
    </row>
    <row customHeight="1" ht="11.25">
      <c r="A146" s="5647" t="s">
        <v>2274</v>
      </c>
      <c r="B146" s="5647" t="s">
        <v>16</v>
      </c>
      <c r="C146" s="5647" t="s">
        <v>2430</v>
      </c>
      <c r="D146" s="5647" t="s">
        <v>2431</v>
      </c>
      <c r="E146" s="5647" t="s">
        <v>2432</v>
      </c>
      <c r="F146" s="5647" t="s">
        <v>2305</v>
      </c>
      <c r="G146" s="5647" t="s">
        <v>2433</v>
      </c>
      <c r="H146" s="5647" t="s">
        <v>28</v>
      </c>
      <c r="I146" s="5647" t="s">
        <v>873</v>
      </c>
    </row>
    <row customHeight="1" ht="11.25">
      <c r="A147" s="5647" t="s">
        <v>2274</v>
      </c>
      <c r="B147" s="5647" t="s">
        <v>16</v>
      </c>
      <c r="C147" s="5647" t="s">
        <v>2731</v>
      </c>
      <c r="D147" s="5647" t="s">
        <v>2732</v>
      </c>
      <c r="E147" s="5647" t="s">
        <v>2733</v>
      </c>
      <c r="F147" s="5647" t="s">
        <v>2278</v>
      </c>
      <c r="G147" s="5647" t="s">
        <v>2734</v>
      </c>
      <c r="H147" s="5647" t="s">
        <v>28</v>
      </c>
      <c r="I147" s="5647" t="s">
        <v>873</v>
      </c>
    </row>
    <row customHeight="1" ht="11.25">
      <c r="A148" s="5647" t="s">
        <v>2274</v>
      </c>
      <c r="B148" s="5647" t="s">
        <v>16</v>
      </c>
      <c r="C148" s="5647" t="s">
        <v>2735</v>
      </c>
      <c r="D148" s="5647" t="s">
        <v>2736</v>
      </c>
      <c r="E148" s="5647" t="s">
        <v>2737</v>
      </c>
      <c r="F148" s="5647" t="s">
        <v>2654</v>
      </c>
      <c r="G148" s="5647" t="s">
        <v>2738</v>
      </c>
      <c r="H148" s="5647" t="s">
        <v>28</v>
      </c>
      <c r="I148" s="5647" t="s">
        <v>873</v>
      </c>
    </row>
    <row customHeight="1" ht="11.25">
      <c r="A149" s="5647" t="s">
        <v>2274</v>
      </c>
      <c r="B149" s="5647" t="s">
        <v>16</v>
      </c>
      <c r="C149" s="5647" t="s">
        <v>2739</v>
      </c>
      <c r="D149" s="5647" t="s">
        <v>2740</v>
      </c>
      <c r="E149" s="5647" t="s">
        <v>2741</v>
      </c>
      <c r="F149" s="5647" t="s">
        <v>2341</v>
      </c>
      <c r="G149" s="5647" t="s">
        <v>2742</v>
      </c>
      <c r="H149" s="5647" t="s">
        <v>28</v>
      </c>
      <c r="I149" s="5647" t="s">
        <v>873</v>
      </c>
    </row>
    <row customHeight="1" ht="11.25">
      <c r="A150" s="5647" t="s">
        <v>2274</v>
      </c>
      <c r="B150" s="5647" t="s">
        <v>16</v>
      </c>
      <c r="C150" s="5647" t="s">
        <v>2743</v>
      </c>
      <c r="D150" s="5647" t="s">
        <v>2744</v>
      </c>
      <c r="E150" s="5647" t="s">
        <v>2745</v>
      </c>
      <c r="F150" s="5647" t="s">
        <v>2649</v>
      </c>
      <c r="G150" s="5647" t="s">
        <v>2746</v>
      </c>
      <c r="H150" s="5647" t="s">
        <v>28</v>
      </c>
      <c r="I150" s="5647" t="s">
        <v>873</v>
      </c>
    </row>
    <row customHeight="1" ht="11.25">
      <c r="A151" s="5647" t="s">
        <v>2274</v>
      </c>
      <c r="B151" s="5647" t="s">
        <v>16</v>
      </c>
      <c r="C151" s="5647" t="s">
        <v>2747</v>
      </c>
      <c r="D151" s="5647" t="s">
        <v>2748</v>
      </c>
      <c r="E151" s="5647" t="s">
        <v>2749</v>
      </c>
      <c r="F151" s="5647" t="s">
        <v>2729</v>
      </c>
      <c r="G151" s="5647" t="s">
        <v>28</v>
      </c>
      <c r="H151" s="5647" t="s">
        <v>28</v>
      </c>
      <c r="I151" s="5647" t="s">
        <v>873</v>
      </c>
    </row>
    <row customHeight="1" ht="11.25">
      <c r="A152" s="5647" t="s">
        <v>2274</v>
      </c>
      <c r="B152" s="5647" t="s">
        <v>16</v>
      </c>
      <c r="C152" s="5647" t="s">
        <v>2750</v>
      </c>
      <c r="D152" s="5647" t="s">
        <v>2751</v>
      </c>
      <c r="E152" s="5647" t="s">
        <v>2752</v>
      </c>
      <c r="F152" s="5647" t="s">
        <v>2341</v>
      </c>
      <c r="G152" s="5647" t="s">
        <v>2742</v>
      </c>
      <c r="H152" s="5647" t="s">
        <v>28</v>
      </c>
      <c r="I152" s="5647" t="s">
        <v>873</v>
      </c>
    </row>
    <row customHeight="1" ht="11.25">
      <c r="A153" s="5647" t="s">
        <v>2274</v>
      </c>
      <c r="B153" s="5647" t="s">
        <v>16</v>
      </c>
      <c r="C153" s="5647" t="s">
        <v>2455</v>
      </c>
      <c r="D153" s="5647" t="s">
        <v>2456</v>
      </c>
      <c r="E153" s="5647" t="s">
        <v>2457</v>
      </c>
      <c r="F153" s="5647" t="s">
        <v>2341</v>
      </c>
      <c r="G153" s="5647" t="s">
        <v>2458</v>
      </c>
      <c r="H153" s="5647" t="s">
        <v>28</v>
      </c>
      <c r="I153" s="5647" t="s">
        <v>873</v>
      </c>
    </row>
    <row customHeight="1" ht="11.25">
      <c r="A154" s="5647" t="s">
        <v>2274</v>
      </c>
      <c r="B154" s="5647" t="s">
        <v>16</v>
      </c>
      <c r="C154" s="5647" t="s">
        <v>2753</v>
      </c>
      <c r="D154" s="5647" t="s">
        <v>2754</v>
      </c>
      <c r="E154" s="5647" t="s">
        <v>2755</v>
      </c>
      <c r="F154" s="5647" t="s">
        <v>2756</v>
      </c>
      <c r="G154" s="5647" t="s">
        <v>2757</v>
      </c>
      <c r="H154" s="5647" t="s">
        <v>28</v>
      </c>
      <c r="I154" s="5647" t="s">
        <v>873</v>
      </c>
    </row>
    <row customHeight="1" ht="11.25">
      <c r="A155" s="5647" t="s">
        <v>2274</v>
      </c>
      <c r="B155" s="5647" t="s">
        <v>16</v>
      </c>
      <c r="C155" s="5647" t="s">
        <v>2758</v>
      </c>
      <c r="D155" s="5647" t="s">
        <v>2759</v>
      </c>
      <c r="E155" s="5647" t="s">
        <v>2760</v>
      </c>
      <c r="F155" s="5647" t="s">
        <v>2693</v>
      </c>
      <c r="G155" s="5647" t="s">
        <v>2761</v>
      </c>
      <c r="H155" s="5647" t="s">
        <v>28</v>
      </c>
      <c r="I155" s="5647" t="s">
        <v>873</v>
      </c>
    </row>
    <row customHeight="1" ht="11.25">
      <c r="A156" s="5647" t="s">
        <v>2274</v>
      </c>
      <c r="B156" s="5647" t="s">
        <v>16</v>
      </c>
      <c r="C156" s="5647" t="s">
        <v>2762</v>
      </c>
      <c r="D156" s="5647" t="s">
        <v>2763</v>
      </c>
      <c r="E156" s="5647" t="s">
        <v>2764</v>
      </c>
      <c r="F156" s="5647" t="s">
        <v>2477</v>
      </c>
      <c r="G156" s="5647" t="s">
        <v>2765</v>
      </c>
      <c r="H156" s="5647" t="s">
        <v>28</v>
      </c>
      <c r="I156" s="5647" t="s">
        <v>873</v>
      </c>
    </row>
    <row customHeight="1" ht="11.25">
      <c r="A157" s="5647" t="s">
        <v>2274</v>
      </c>
      <c r="B157" s="5647" t="s">
        <v>16</v>
      </c>
      <c r="C157" s="5647" t="s">
        <v>2766</v>
      </c>
      <c r="D157" s="5647" t="s">
        <v>2767</v>
      </c>
      <c r="E157" s="5647" t="s">
        <v>2768</v>
      </c>
      <c r="F157" s="5647" t="s">
        <v>2317</v>
      </c>
      <c r="G157" s="5647" t="s">
        <v>2489</v>
      </c>
      <c r="H157" s="5647" t="s">
        <v>28</v>
      </c>
      <c r="I157" s="5647" t="s">
        <v>873</v>
      </c>
    </row>
    <row customHeight="1" ht="11.25">
      <c r="A158" s="5647" t="s">
        <v>2274</v>
      </c>
      <c r="B158" s="5647" t="s">
        <v>16</v>
      </c>
      <c r="C158" s="5647" t="s">
        <v>2769</v>
      </c>
      <c r="D158" s="5647" t="s">
        <v>2770</v>
      </c>
      <c r="E158" s="5647" t="s">
        <v>2771</v>
      </c>
      <c r="F158" s="5647" t="s">
        <v>2477</v>
      </c>
      <c r="G158" s="5647" t="s">
        <v>2772</v>
      </c>
      <c r="H158" s="5647" t="s">
        <v>28</v>
      </c>
      <c r="I158" s="5647" t="s">
        <v>873</v>
      </c>
    </row>
    <row customHeight="1" ht="11.25">
      <c r="A159" s="5647" t="s">
        <v>2274</v>
      </c>
      <c r="B159" s="5647" t="s">
        <v>16</v>
      </c>
      <c r="C159" s="5647" t="s">
        <v>2773</v>
      </c>
      <c r="D159" s="5647" t="s">
        <v>2774</v>
      </c>
      <c r="E159" s="5647" t="s">
        <v>2775</v>
      </c>
      <c r="F159" s="5647" t="s">
        <v>2649</v>
      </c>
      <c r="G159" s="5647" t="s">
        <v>2776</v>
      </c>
      <c r="H159" s="5647" t="s">
        <v>28</v>
      </c>
      <c r="I159" s="5647" t="s">
        <v>873</v>
      </c>
    </row>
    <row customHeight="1" ht="11.25">
      <c r="A160" s="5647" t="s">
        <v>2274</v>
      </c>
      <c r="B160" s="5647" t="s">
        <v>16</v>
      </c>
      <c r="C160" s="5647" t="s">
        <v>2777</v>
      </c>
      <c r="D160" s="5647" t="s">
        <v>2778</v>
      </c>
      <c r="E160" s="5647" t="s">
        <v>2779</v>
      </c>
      <c r="F160" s="5647" t="s">
        <v>2327</v>
      </c>
      <c r="G160" s="5647" t="s">
        <v>2780</v>
      </c>
      <c r="H160" s="5647" t="s">
        <v>28</v>
      </c>
      <c r="I160" s="5647" t="s">
        <v>873</v>
      </c>
    </row>
    <row customHeight="1" ht="11.25">
      <c r="A161" s="5647" t="s">
        <v>2274</v>
      </c>
      <c r="B161" s="5647" t="s">
        <v>16</v>
      </c>
      <c r="C161" s="5647" t="s">
        <v>2544</v>
      </c>
      <c r="D161" s="5647" t="s">
        <v>2545</v>
      </c>
      <c r="E161" s="5647" t="s">
        <v>2546</v>
      </c>
      <c r="F161" s="5647" t="s">
        <v>2547</v>
      </c>
      <c r="G161" s="5647" t="s">
        <v>2548</v>
      </c>
      <c r="H161" s="5647" t="s">
        <v>28</v>
      </c>
      <c r="I161" s="5647" t="s">
        <v>873</v>
      </c>
    </row>
    <row customHeight="1" ht="11.25">
      <c r="A162" s="5647" t="s">
        <v>2274</v>
      </c>
      <c r="B162" s="5647" t="s">
        <v>16</v>
      </c>
      <c r="C162" s="5647" t="s">
        <v>28</v>
      </c>
      <c r="D162" s="5647" t="s">
        <v>2561</v>
      </c>
      <c r="E162" s="5647" t="s">
        <v>2562</v>
      </c>
      <c r="F162" s="5647" t="s">
        <v>2563</v>
      </c>
      <c r="G162" s="5647" t="s">
        <v>28</v>
      </c>
      <c r="H162" s="5647" t="s">
        <v>28</v>
      </c>
      <c r="I162" s="5647" t="s">
        <v>873</v>
      </c>
    </row>
    <row customHeight="1" ht="11.25">
      <c r="A163" s="5647" t="s">
        <v>2274</v>
      </c>
      <c r="B163" s="5647" t="s">
        <v>16</v>
      </c>
      <c r="C163" s="5647" t="s">
        <v>2781</v>
      </c>
      <c r="D163" s="5647" t="s">
        <v>2782</v>
      </c>
      <c r="E163" s="5647" t="s">
        <v>2783</v>
      </c>
      <c r="F163" s="5647" t="s">
        <v>2341</v>
      </c>
      <c r="G163" s="5647" t="s">
        <v>2784</v>
      </c>
      <c r="H163" s="5647" t="s">
        <v>28</v>
      </c>
      <c r="I163" s="5647" t="s">
        <v>873</v>
      </c>
    </row>
    <row customHeight="1" ht="11.25">
      <c r="A164" s="5647" t="s">
        <v>2274</v>
      </c>
      <c r="B164" s="5647" t="s">
        <v>16</v>
      </c>
      <c r="C164" s="5647" t="s">
        <v>2785</v>
      </c>
      <c r="D164" s="5647" t="s">
        <v>2786</v>
      </c>
      <c r="E164" s="5647" t="s">
        <v>2787</v>
      </c>
      <c r="F164" s="5647" t="s">
        <v>2654</v>
      </c>
      <c r="G164" s="5647" t="s">
        <v>2788</v>
      </c>
      <c r="H164" s="5647" t="s">
        <v>28</v>
      </c>
      <c r="I164" s="5647" t="s">
        <v>873</v>
      </c>
    </row>
    <row customHeight="1" ht="11.25">
      <c r="A165" s="5647" t="s">
        <v>2274</v>
      </c>
      <c r="B165" s="5647" t="s">
        <v>16</v>
      </c>
      <c r="C165" s="5647" t="s">
        <v>2789</v>
      </c>
      <c r="D165" s="5647" t="s">
        <v>2790</v>
      </c>
      <c r="E165" s="5647" t="s">
        <v>2791</v>
      </c>
      <c r="F165" s="5647" t="s">
        <v>2619</v>
      </c>
      <c r="G165" s="5647" t="s">
        <v>2792</v>
      </c>
      <c r="H165" s="5647" t="s">
        <v>28</v>
      </c>
      <c r="I165" s="5647" t="s">
        <v>873</v>
      </c>
    </row>
    <row customHeight="1" ht="11.25">
      <c r="A166" s="5647" t="s">
        <v>2274</v>
      </c>
      <c r="B166" s="5647" t="s">
        <v>16</v>
      </c>
      <c r="C166" s="5647" t="s">
        <v>2793</v>
      </c>
      <c r="D166" s="5647" t="s">
        <v>2794</v>
      </c>
      <c r="E166" s="5647" t="s">
        <v>2795</v>
      </c>
      <c r="F166" s="5647" t="s">
        <v>2654</v>
      </c>
      <c r="G166" s="5647" t="s">
        <v>2796</v>
      </c>
      <c r="H166" s="5647" t="s">
        <v>28</v>
      </c>
      <c r="I166" s="5647" t="s">
        <v>873</v>
      </c>
    </row>
    <row customHeight="1" ht="11.25">
      <c r="A167" s="5647" t="s">
        <v>2274</v>
      </c>
      <c r="B167" s="5647" t="s">
        <v>16</v>
      </c>
      <c r="C167" s="5647" t="s">
        <v>2569</v>
      </c>
      <c r="D167" s="5647" t="s">
        <v>2570</v>
      </c>
      <c r="E167" s="5647" t="s">
        <v>2571</v>
      </c>
      <c r="F167" s="5647" t="s">
        <v>2572</v>
      </c>
      <c r="G167" s="5647" t="s">
        <v>28</v>
      </c>
      <c r="H167" s="5647" t="s">
        <v>28</v>
      </c>
      <c r="I167" s="5647" t="s">
        <v>873</v>
      </c>
    </row>
    <row customHeight="1" ht="11.25">
      <c r="A168" s="5647" t="s">
        <v>2274</v>
      </c>
      <c r="B168" s="5647" t="s">
        <v>16</v>
      </c>
      <c r="C168" s="5647" t="s">
        <v>2573</v>
      </c>
      <c r="D168" s="5647" t="s">
        <v>2574</v>
      </c>
      <c r="E168" s="5647" t="s">
        <v>2575</v>
      </c>
      <c r="F168" s="5647" t="s">
        <v>2576</v>
      </c>
      <c r="G168" s="5647" t="s">
        <v>2577</v>
      </c>
      <c r="H168" s="5647" t="s">
        <v>28</v>
      </c>
      <c r="I168" s="5647" t="s">
        <v>873</v>
      </c>
    </row>
    <row customHeight="1" ht="11.25">
      <c r="A169" s="5647" t="s">
        <v>2274</v>
      </c>
      <c r="B169" s="5647" t="s">
        <v>16</v>
      </c>
      <c r="C169" s="5647" t="s">
        <v>2581</v>
      </c>
      <c r="D169" s="5647" t="s">
        <v>2582</v>
      </c>
      <c r="E169" s="5647" t="s">
        <v>2583</v>
      </c>
      <c r="F169" s="5647" t="s">
        <v>2584</v>
      </c>
      <c r="G169" s="5647" t="s">
        <v>2399</v>
      </c>
      <c r="H169" s="5647" t="s">
        <v>28</v>
      </c>
      <c r="I169" s="5647" t="s">
        <v>873</v>
      </c>
    </row>
    <row customHeight="1" ht="11.25">
      <c r="A170" s="5647" t="s">
        <v>2274</v>
      </c>
      <c r="B170" s="5647" t="s">
        <v>16</v>
      </c>
      <c r="C170" s="5647" t="s">
        <v>2797</v>
      </c>
      <c r="D170" s="5647" t="s">
        <v>2798</v>
      </c>
      <c r="E170" s="5647" t="s">
        <v>2799</v>
      </c>
      <c r="F170" s="5647" t="s">
        <v>2649</v>
      </c>
      <c r="G170" s="5647" t="s">
        <v>2800</v>
      </c>
      <c r="H170" s="5647" t="s">
        <v>28</v>
      </c>
      <c r="I170" s="5647" t="s">
        <v>873</v>
      </c>
    </row>
    <row customHeight="1" ht="11.25">
      <c r="A171" s="5647" t="s">
        <v>2274</v>
      </c>
      <c r="B171" s="5647" t="s">
        <v>16</v>
      </c>
      <c r="C171" s="5647" t="s">
        <v>2585</v>
      </c>
      <c r="D171" s="5647" t="s">
        <v>2586</v>
      </c>
      <c r="E171" s="5647" t="s">
        <v>2587</v>
      </c>
      <c r="F171" s="5647" t="s">
        <v>2588</v>
      </c>
      <c r="G171" s="5647" t="s">
        <v>2589</v>
      </c>
      <c r="H171" s="5647" t="s">
        <v>28</v>
      </c>
      <c r="I171" s="5647" t="s">
        <v>873</v>
      </c>
    </row>
    <row customHeight="1" ht="11.25">
      <c r="A172" s="5647" t="s">
        <v>2274</v>
      </c>
      <c r="B172" s="5647" t="s">
        <v>16</v>
      </c>
      <c r="C172" s="5647" t="s">
        <v>2594</v>
      </c>
      <c r="D172" s="5647" t="s">
        <v>2595</v>
      </c>
      <c r="E172" s="5647" t="s">
        <v>2596</v>
      </c>
      <c r="F172" s="5647" t="s">
        <v>2283</v>
      </c>
      <c r="G172" s="5647" t="s">
        <v>2597</v>
      </c>
      <c r="H172" s="5647" t="s">
        <v>28</v>
      </c>
      <c r="I172" s="5647" t="s">
        <v>926</v>
      </c>
    </row>
    <row customHeight="1" ht="11.25">
      <c r="A173" s="5647" t="s">
        <v>2274</v>
      </c>
      <c r="B173" s="5647" t="s">
        <v>16</v>
      </c>
      <c r="C173" s="5647" t="s">
        <v>2285</v>
      </c>
      <c r="D173" s="5647" t="s">
        <v>2286</v>
      </c>
      <c r="E173" s="5647" t="s">
        <v>2287</v>
      </c>
      <c r="F173" s="5647" t="s">
        <v>2283</v>
      </c>
      <c r="G173" s="5647" t="s">
        <v>2288</v>
      </c>
      <c r="H173" s="5647" t="s">
        <v>28</v>
      </c>
      <c r="I173" s="5647" t="s">
        <v>926</v>
      </c>
    </row>
    <row customHeight="1" ht="11.25">
      <c r="A174" s="5647" t="s">
        <v>2274</v>
      </c>
      <c r="B174" s="5647" t="s">
        <v>16</v>
      </c>
      <c r="C174" s="5647" t="s">
        <v>2338</v>
      </c>
      <c r="D174" s="5647" t="s">
        <v>2339</v>
      </c>
      <c r="E174" s="5647" t="s">
        <v>2340</v>
      </c>
      <c r="F174" s="5647" t="s">
        <v>2341</v>
      </c>
      <c r="G174" s="5647" t="s">
        <v>2342</v>
      </c>
      <c r="H174" s="5647" t="s">
        <v>28</v>
      </c>
      <c r="I174" s="5647" t="s">
        <v>926</v>
      </c>
    </row>
    <row customHeight="1" ht="11.25">
      <c r="A175" s="5647" t="s">
        <v>2274</v>
      </c>
      <c r="B175" s="5647" t="s">
        <v>16</v>
      </c>
      <c r="C175" s="5647" t="s">
        <v>2621</v>
      </c>
      <c r="D175" s="5647" t="s">
        <v>2622</v>
      </c>
      <c r="E175" s="5647" t="s">
        <v>2623</v>
      </c>
      <c r="F175" s="5647" t="s">
        <v>2619</v>
      </c>
      <c r="G175" s="5647" t="s">
        <v>2624</v>
      </c>
      <c r="H175" s="5647" t="s">
        <v>2615</v>
      </c>
      <c r="I175" s="5647" t="s">
        <v>926</v>
      </c>
    </row>
    <row customHeight="1" ht="11.25">
      <c r="A176" s="5647" t="s">
        <v>2274</v>
      </c>
      <c r="B176" s="5647" t="s">
        <v>16</v>
      </c>
      <c r="C176" s="5647" t="s">
        <v>2629</v>
      </c>
      <c r="D176" s="5647" t="s">
        <v>2630</v>
      </c>
      <c r="E176" s="5647" t="s">
        <v>2631</v>
      </c>
      <c r="F176" s="5647" t="s">
        <v>2533</v>
      </c>
      <c r="G176" s="5647" t="s">
        <v>2632</v>
      </c>
      <c r="H176" s="5647" t="s">
        <v>28</v>
      </c>
      <c r="I176" s="5647" t="s">
        <v>926</v>
      </c>
    </row>
    <row customHeight="1" ht="11.25">
      <c r="A177" s="5647" t="s">
        <v>2274</v>
      </c>
      <c r="B177" s="5647" t="s">
        <v>16</v>
      </c>
      <c r="C177" s="5647" t="s">
        <v>2355</v>
      </c>
      <c r="D177" s="5647" t="s">
        <v>2356</v>
      </c>
      <c r="E177" s="5647" t="s">
        <v>2357</v>
      </c>
      <c r="F177" s="5647" t="s">
        <v>2317</v>
      </c>
      <c r="G177" s="5647" t="s">
        <v>2358</v>
      </c>
      <c r="H177" s="5647" t="s">
        <v>28</v>
      </c>
      <c r="I177" s="5647" t="s">
        <v>926</v>
      </c>
    </row>
    <row customHeight="1" ht="11.25">
      <c r="A178" s="5647" t="s">
        <v>2274</v>
      </c>
      <c r="B178" s="5647" t="s">
        <v>16</v>
      </c>
      <c r="C178" s="5647" t="s">
        <v>2359</v>
      </c>
      <c r="D178" s="5647" t="s">
        <v>2360</v>
      </c>
      <c r="E178" s="5647" t="s">
        <v>2361</v>
      </c>
      <c r="F178" s="5647" t="s">
        <v>2305</v>
      </c>
      <c r="G178" s="5647" t="s">
        <v>2362</v>
      </c>
      <c r="H178" s="5647" t="s">
        <v>28</v>
      </c>
      <c r="I178" s="5647" t="s">
        <v>926</v>
      </c>
    </row>
    <row customHeight="1" ht="11.25">
      <c r="A179" s="5647" t="s">
        <v>2274</v>
      </c>
      <c r="B179" s="5647" t="s">
        <v>16</v>
      </c>
      <c r="C179" s="5647" t="s">
        <v>2801</v>
      </c>
      <c r="D179" s="5647" t="s">
        <v>2802</v>
      </c>
      <c r="E179" s="5647" t="s">
        <v>2803</v>
      </c>
      <c r="F179" s="5647" t="s">
        <v>2317</v>
      </c>
      <c r="G179" s="5647" t="s">
        <v>2804</v>
      </c>
      <c r="H179" s="5647" t="s">
        <v>28</v>
      </c>
      <c r="I179" s="5647" t="s">
        <v>926</v>
      </c>
    </row>
    <row customHeight="1" ht="11.25">
      <c r="A180" s="5647" t="s">
        <v>2274</v>
      </c>
      <c r="B180" s="5647" t="s">
        <v>16</v>
      </c>
      <c r="C180" s="5647" t="s">
        <v>2637</v>
      </c>
      <c r="D180" s="5647" t="s">
        <v>2638</v>
      </c>
      <c r="E180" s="5647" t="s">
        <v>2639</v>
      </c>
      <c r="F180" s="5647" t="s">
        <v>2477</v>
      </c>
      <c r="G180" s="5647" t="s">
        <v>2640</v>
      </c>
      <c r="H180" s="5647" t="s">
        <v>2641</v>
      </c>
      <c r="I180" s="5647" t="s">
        <v>926</v>
      </c>
    </row>
    <row customHeight="1" ht="11.25">
      <c r="A181" s="5647" t="s">
        <v>2274</v>
      </c>
      <c r="B181" s="5647" t="s">
        <v>16</v>
      </c>
      <c r="C181" s="5647" t="s">
        <v>2669</v>
      </c>
      <c r="D181" s="5647" t="s">
        <v>2670</v>
      </c>
      <c r="E181" s="5647" t="s">
        <v>2671</v>
      </c>
      <c r="F181" s="5647" t="s">
        <v>2317</v>
      </c>
      <c r="G181" s="5647" t="s">
        <v>2672</v>
      </c>
      <c r="H181" s="5647" t="s">
        <v>28</v>
      </c>
      <c r="I181" s="5647" t="s">
        <v>926</v>
      </c>
    </row>
    <row customHeight="1" ht="11.25">
      <c r="A182" s="5647" t="s">
        <v>2274</v>
      </c>
      <c r="B182" s="5647" t="s">
        <v>16</v>
      </c>
      <c r="C182" s="5647" t="s">
        <v>2805</v>
      </c>
      <c r="D182" s="5647" t="s">
        <v>2806</v>
      </c>
      <c r="E182" s="5647" t="s">
        <v>2807</v>
      </c>
      <c r="F182" s="5647" t="s">
        <v>2413</v>
      </c>
      <c r="G182" s="5647" t="s">
        <v>2808</v>
      </c>
      <c r="H182" s="5647" t="s">
        <v>28</v>
      </c>
      <c r="I182" s="5647" t="s">
        <v>926</v>
      </c>
    </row>
    <row customHeight="1" ht="11.25">
      <c r="A183" s="5647" t="s">
        <v>2274</v>
      </c>
      <c r="B183" s="5647" t="s">
        <v>16</v>
      </c>
      <c r="C183" s="5647" t="s">
        <v>2430</v>
      </c>
      <c r="D183" s="5647" t="s">
        <v>2431</v>
      </c>
      <c r="E183" s="5647" t="s">
        <v>2432</v>
      </c>
      <c r="F183" s="5647" t="s">
        <v>2305</v>
      </c>
      <c r="G183" s="5647" t="s">
        <v>2433</v>
      </c>
      <c r="H183" s="5647" t="s">
        <v>28</v>
      </c>
      <c r="I183" s="5647" t="s">
        <v>926</v>
      </c>
    </row>
    <row customHeight="1" ht="11.25">
      <c r="A184" s="5647" t="s">
        <v>2274</v>
      </c>
      <c r="B184" s="5647" t="s">
        <v>16</v>
      </c>
      <c r="C184" s="5647" t="s">
        <v>2809</v>
      </c>
      <c r="D184" s="5647" t="s">
        <v>2810</v>
      </c>
      <c r="E184" s="5647" t="s">
        <v>2811</v>
      </c>
      <c r="F184" s="5647" t="s">
        <v>2812</v>
      </c>
      <c r="G184" s="5647" t="s">
        <v>28</v>
      </c>
      <c r="H184" s="5647" t="s">
        <v>28</v>
      </c>
      <c r="I184" s="5647" t="s">
        <v>926</v>
      </c>
    </row>
    <row customHeight="1" ht="11.25">
      <c r="A185" s="5647" t="s">
        <v>2274</v>
      </c>
      <c r="B185" s="5647" t="s">
        <v>16</v>
      </c>
      <c r="C185" s="5647" t="s">
        <v>2750</v>
      </c>
      <c r="D185" s="5647" t="s">
        <v>2751</v>
      </c>
      <c r="E185" s="5647" t="s">
        <v>2752</v>
      </c>
      <c r="F185" s="5647" t="s">
        <v>2341</v>
      </c>
      <c r="G185" s="5647" t="s">
        <v>2742</v>
      </c>
      <c r="H185" s="5647" t="s">
        <v>28</v>
      </c>
      <c r="I185" s="5647" t="s">
        <v>926</v>
      </c>
    </row>
    <row customHeight="1" ht="11.25">
      <c r="A186" s="5647" t="s">
        <v>2274</v>
      </c>
      <c r="B186" s="5647" t="s">
        <v>16</v>
      </c>
      <c r="C186" s="5647" t="s">
        <v>2455</v>
      </c>
      <c r="D186" s="5647" t="s">
        <v>2456</v>
      </c>
      <c r="E186" s="5647" t="s">
        <v>2457</v>
      </c>
      <c r="F186" s="5647" t="s">
        <v>2341</v>
      </c>
      <c r="G186" s="5647" t="s">
        <v>2458</v>
      </c>
      <c r="H186" s="5647" t="s">
        <v>28</v>
      </c>
      <c r="I186" s="5647" t="s">
        <v>926</v>
      </c>
    </row>
    <row customHeight="1" ht="11.25">
      <c r="A187" s="5647" t="s">
        <v>2274</v>
      </c>
      <c r="B187" s="5647" t="s">
        <v>16</v>
      </c>
      <c r="C187" s="5647" t="s">
        <v>2753</v>
      </c>
      <c r="D187" s="5647" t="s">
        <v>2754</v>
      </c>
      <c r="E187" s="5647" t="s">
        <v>2755</v>
      </c>
      <c r="F187" s="5647" t="s">
        <v>2756</v>
      </c>
      <c r="G187" s="5647" t="s">
        <v>2757</v>
      </c>
      <c r="H187" s="5647" t="s">
        <v>28</v>
      </c>
      <c r="I187" s="5647" t="s">
        <v>926</v>
      </c>
    </row>
    <row customHeight="1" ht="11.25">
      <c r="A188" s="5647" t="s">
        <v>2274</v>
      </c>
      <c r="B188" s="5647" t="s">
        <v>16</v>
      </c>
      <c r="C188" s="5647" t="s">
        <v>2459</v>
      </c>
      <c r="D188" s="5647" t="s">
        <v>2460</v>
      </c>
      <c r="E188" s="5647" t="s">
        <v>2461</v>
      </c>
      <c r="F188" s="5647" t="s">
        <v>2462</v>
      </c>
      <c r="G188" s="5647" t="s">
        <v>2463</v>
      </c>
      <c r="H188" s="5647" t="s">
        <v>28</v>
      </c>
      <c r="I188" s="5647" t="s">
        <v>926</v>
      </c>
    </row>
    <row customHeight="1" ht="11.25">
      <c r="A189" s="5647" t="s">
        <v>2274</v>
      </c>
      <c r="B189" s="5647" t="s">
        <v>16</v>
      </c>
      <c r="C189" s="5647" t="s">
        <v>2766</v>
      </c>
      <c r="D189" s="5647" t="s">
        <v>2767</v>
      </c>
      <c r="E189" s="5647" t="s">
        <v>2768</v>
      </c>
      <c r="F189" s="5647" t="s">
        <v>2317</v>
      </c>
      <c r="G189" s="5647" t="s">
        <v>2489</v>
      </c>
      <c r="H189" s="5647" t="s">
        <v>28</v>
      </c>
      <c r="I189" s="5647" t="s">
        <v>926</v>
      </c>
    </row>
    <row customHeight="1" ht="11.25">
      <c r="A190" s="5647" t="s">
        <v>2274</v>
      </c>
      <c r="B190" s="5647" t="s">
        <v>16</v>
      </c>
      <c r="C190" s="5647" t="s">
        <v>2813</v>
      </c>
      <c r="D190" s="5647" t="s">
        <v>2814</v>
      </c>
      <c r="E190" s="5647" t="s">
        <v>2815</v>
      </c>
      <c r="F190" s="5647" t="s">
        <v>2278</v>
      </c>
      <c r="G190" s="5647" t="s">
        <v>2816</v>
      </c>
      <c r="H190" s="5647" t="s">
        <v>28</v>
      </c>
      <c r="I190" s="5647" t="s">
        <v>926</v>
      </c>
    </row>
    <row customHeight="1" ht="11.25">
      <c r="A191" s="5647" t="s">
        <v>2274</v>
      </c>
      <c r="B191" s="5647" t="s">
        <v>16</v>
      </c>
      <c r="C191" s="5647" t="s">
        <v>2817</v>
      </c>
      <c r="D191" s="5647" t="s">
        <v>2818</v>
      </c>
      <c r="E191" s="5647" t="s">
        <v>2819</v>
      </c>
      <c r="F191" s="5647" t="s">
        <v>2533</v>
      </c>
      <c r="G191" s="5647" t="s">
        <v>2820</v>
      </c>
      <c r="H191" s="5647" t="s">
        <v>28</v>
      </c>
      <c r="I191" s="5647" t="s">
        <v>926</v>
      </c>
    </row>
    <row customHeight="1" ht="11.25">
      <c r="A192" s="5647" t="s">
        <v>2274</v>
      </c>
      <c r="B192" s="5647" t="s">
        <v>16</v>
      </c>
      <c r="C192" s="5647" t="s">
        <v>2769</v>
      </c>
      <c r="D192" s="5647" t="s">
        <v>2770</v>
      </c>
      <c r="E192" s="5647" t="s">
        <v>2771</v>
      </c>
      <c r="F192" s="5647" t="s">
        <v>2477</v>
      </c>
      <c r="G192" s="5647" t="s">
        <v>2772</v>
      </c>
      <c r="H192" s="5647" t="s">
        <v>28</v>
      </c>
      <c r="I192" s="5647" t="s">
        <v>926</v>
      </c>
    </row>
    <row customHeight="1" ht="11.25">
      <c r="A193" s="5647" t="s">
        <v>2274</v>
      </c>
      <c r="B193" s="5647" t="s">
        <v>16</v>
      </c>
      <c r="C193" s="5647" t="s">
        <v>2821</v>
      </c>
      <c r="D193" s="5647" t="s">
        <v>2822</v>
      </c>
      <c r="E193" s="5647" t="s">
        <v>2823</v>
      </c>
      <c r="F193" s="5647" t="s">
        <v>2824</v>
      </c>
      <c r="G193" s="5647" t="s">
        <v>2825</v>
      </c>
      <c r="H193" s="5647" t="s">
        <v>28</v>
      </c>
      <c r="I193" s="5647" t="s">
        <v>926</v>
      </c>
    </row>
    <row customHeight="1" ht="11.25">
      <c r="A194" s="5647" t="s">
        <v>2274</v>
      </c>
      <c r="B194" s="5647" t="s">
        <v>16</v>
      </c>
      <c r="C194" s="5647" t="s">
        <v>2826</v>
      </c>
      <c r="D194" s="5647" t="s">
        <v>2827</v>
      </c>
      <c r="E194" s="5647" t="s">
        <v>2828</v>
      </c>
      <c r="F194" s="5647" t="s">
        <v>2341</v>
      </c>
      <c r="G194" s="5647" t="s">
        <v>2829</v>
      </c>
      <c r="H194" s="5647" t="s">
        <v>28</v>
      </c>
      <c r="I194" s="5647" t="s">
        <v>926</v>
      </c>
    </row>
    <row customHeight="1" ht="11.25">
      <c r="A195" s="5647" t="s">
        <v>2274</v>
      </c>
      <c r="B195" s="5647" t="s">
        <v>16</v>
      </c>
      <c r="C195" s="5647" t="s">
        <v>2535</v>
      </c>
      <c r="D195" s="5647" t="s">
        <v>2536</v>
      </c>
      <c r="E195" s="5647" t="s">
        <v>2537</v>
      </c>
      <c r="F195" s="5647" t="s">
        <v>2538</v>
      </c>
      <c r="G195" s="5647" t="s">
        <v>2539</v>
      </c>
      <c r="H195" s="5647" t="s">
        <v>28</v>
      </c>
      <c r="I195" s="5647" t="s">
        <v>926</v>
      </c>
    </row>
    <row customHeight="1" ht="11.25">
      <c r="A196" s="5647" t="s">
        <v>2274</v>
      </c>
      <c r="B196" s="5647" t="s">
        <v>16</v>
      </c>
      <c r="C196" s="5647" t="s">
        <v>2777</v>
      </c>
      <c r="D196" s="5647" t="s">
        <v>2778</v>
      </c>
      <c r="E196" s="5647" t="s">
        <v>2779</v>
      </c>
      <c r="F196" s="5647" t="s">
        <v>2327</v>
      </c>
      <c r="G196" s="5647" t="s">
        <v>2780</v>
      </c>
      <c r="H196" s="5647" t="s">
        <v>28</v>
      </c>
      <c r="I196" s="5647" t="s">
        <v>926</v>
      </c>
    </row>
    <row customHeight="1" ht="11.25">
      <c r="A197" s="5647" t="s">
        <v>2274</v>
      </c>
      <c r="B197" s="5647" t="s">
        <v>16</v>
      </c>
      <c r="C197" s="5647" t="s">
        <v>2544</v>
      </c>
      <c r="D197" s="5647" t="s">
        <v>2545</v>
      </c>
      <c r="E197" s="5647" t="s">
        <v>2546</v>
      </c>
      <c r="F197" s="5647" t="s">
        <v>2547</v>
      </c>
      <c r="G197" s="5647" t="s">
        <v>2548</v>
      </c>
      <c r="H197" s="5647" t="s">
        <v>28</v>
      </c>
      <c r="I197" s="5647" t="s">
        <v>926</v>
      </c>
    </row>
    <row customHeight="1" ht="11.25">
      <c r="A198" s="5647" t="s">
        <v>2274</v>
      </c>
      <c r="B198" s="5647" t="s">
        <v>16</v>
      </c>
      <c r="C198" s="5647" t="s">
        <v>28</v>
      </c>
      <c r="D198" s="5647" t="s">
        <v>2561</v>
      </c>
      <c r="E198" s="5647" t="s">
        <v>2562</v>
      </c>
      <c r="F198" s="5647" t="s">
        <v>2563</v>
      </c>
      <c r="G198" s="5647" t="s">
        <v>28</v>
      </c>
      <c r="H198" s="5647" t="s">
        <v>28</v>
      </c>
      <c r="I198" s="5647" t="s">
        <v>926</v>
      </c>
    </row>
    <row customHeight="1" ht="11.25">
      <c r="A199" s="5647" t="s">
        <v>2274</v>
      </c>
      <c r="B199" s="5647" t="s">
        <v>16</v>
      </c>
      <c r="C199" s="5647" t="s">
        <v>2569</v>
      </c>
      <c r="D199" s="5647" t="s">
        <v>2570</v>
      </c>
      <c r="E199" s="5647" t="s">
        <v>2571</v>
      </c>
      <c r="F199" s="5647" t="s">
        <v>2572</v>
      </c>
      <c r="G199" s="5647" t="s">
        <v>28</v>
      </c>
      <c r="H199" s="5647" t="s">
        <v>28</v>
      </c>
      <c r="I199" s="5647" t="s">
        <v>926</v>
      </c>
    </row>
    <row customHeight="1" ht="11.25">
      <c r="A200" s="5647" t="s">
        <v>2274</v>
      </c>
      <c r="B200" s="5647" t="s">
        <v>16</v>
      </c>
      <c r="C200" s="5647" t="s">
        <v>2573</v>
      </c>
      <c r="D200" s="5647" t="s">
        <v>2574</v>
      </c>
      <c r="E200" s="5647" t="s">
        <v>2575</v>
      </c>
      <c r="F200" s="5647" t="s">
        <v>2576</v>
      </c>
      <c r="G200" s="5647" t="s">
        <v>2577</v>
      </c>
      <c r="H200" s="5647" t="s">
        <v>28</v>
      </c>
      <c r="I200" s="5647" t="s">
        <v>926</v>
      </c>
    </row>
    <row customHeight="1" ht="11.25">
      <c r="A201" s="5647" t="s">
        <v>2274</v>
      </c>
      <c r="B201" s="5647" t="s">
        <v>16</v>
      </c>
      <c r="C201" s="5647" t="s">
        <v>2581</v>
      </c>
      <c r="D201" s="5647" t="s">
        <v>2582</v>
      </c>
      <c r="E201" s="5647" t="s">
        <v>2583</v>
      </c>
      <c r="F201" s="5647" t="s">
        <v>2584</v>
      </c>
      <c r="G201" s="5647" t="s">
        <v>2399</v>
      </c>
      <c r="H201" s="5647" t="s">
        <v>28</v>
      </c>
      <c r="I201" s="5647" t="s">
        <v>926</v>
      </c>
    </row>
    <row customHeight="1" ht="11.25">
      <c r="A202" s="5647" t="s">
        <v>2274</v>
      </c>
      <c r="B202" s="5647" t="s">
        <v>16</v>
      </c>
      <c r="C202" s="5647" t="s">
        <v>2585</v>
      </c>
      <c r="D202" s="5647" t="s">
        <v>2586</v>
      </c>
      <c r="E202" s="5647" t="s">
        <v>2587</v>
      </c>
      <c r="F202" s="5647" t="s">
        <v>2588</v>
      </c>
      <c r="G202" s="5647" t="s">
        <v>2589</v>
      </c>
      <c r="H202" s="5647" t="s">
        <v>28</v>
      </c>
      <c r="I202" s="5647" t="s">
        <v>926</v>
      </c>
    </row>
    <row customHeight="1" ht="11.25">
      <c r="A203" s="5647" t="s">
        <v>2274</v>
      </c>
      <c r="B203" s="5647" t="s">
        <v>16</v>
      </c>
      <c r="C203" s="5647" t="s">
        <v>2289</v>
      </c>
      <c r="D203" s="5647" t="s">
        <v>2290</v>
      </c>
      <c r="E203" s="5647" t="s">
        <v>2291</v>
      </c>
      <c r="F203" s="5647" t="s">
        <v>2292</v>
      </c>
      <c r="G203" s="5647" t="s">
        <v>2293</v>
      </c>
      <c r="H203" s="5647" t="s">
        <v>28</v>
      </c>
      <c r="I203" s="5647" t="s">
        <v>1644</v>
      </c>
    </row>
    <row customHeight="1" ht="11.25">
      <c r="A204" s="5647" t="s">
        <v>2274</v>
      </c>
      <c r="B204" s="5647" t="s">
        <v>16</v>
      </c>
      <c r="C204" s="5647" t="s">
        <v>2830</v>
      </c>
      <c r="D204" s="5647" t="s">
        <v>2831</v>
      </c>
      <c r="E204" s="5647" t="s">
        <v>2832</v>
      </c>
      <c r="F204" s="5647" t="s">
        <v>595</v>
      </c>
      <c r="G204" s="5647" t="s">
        <v>2833</v>
      </c>
      <c r="H204" s="5647" t="s">
        <v>28</v>
      </c>
      <c r="I204" s="5647" t="s">
        <v>1644</v>
      </c>
    </row>
    <row customHeight="1" ht="11.25">
      <c r="A205" s="5647" t="s">
        <v>2274</v>
      </c>
      <c r="B205" s="5647" t="s">
        <v>16</v>
      </c>
      <c r="C205" s="5647" t="s">
        <v>2834</v>
      </c>
      <c r="D205" s="5647" t="s">
        <v>2835</v>
      </c>
      <c r="E205" s="5647" t="s">
        <v>2836</v>
      </c>
      <c r="F205" s="5647" t="s">
        <v>595</v>
      </c>
      <c r="G205" s="5647" t="s">
        <v>2837</v>
      </c>
      <c r="H205" s="5647" t="s">
        <v>28</v>
      </c>
      <c r="I205" s="5647" t="s">
        <v>1644</v>
      </c>
    </row>
    <row customHeight="1" ht="11.25">
      <c r="A206" s="5647" t="s">
        <v>2274</v>
      </c>
      <c r="B206" s="5647" t="s">
        <v>16</v>
      </c>
      <c r="C206" s="5647" t="s">
        <v>2838</v>
      </c>
      <c r="D206" s="5647" t="s">
        <v>2839</v>
      </c>
      <c r="E206" s="5647" t="s">
        <v>2840</v>
      </c>
      <c r="F206" s="5647" t="s">
        <v>595</v>
      </c>
      <c r="G206" s="5647" t="s">
        <v>2841</v>
      </c>
      <c r="H206" s="5647" t="s">
        <v>28</v>
      </c>
      <c r="I206" s="5647" t="s">
        <v>1644</v>
      </c>
    </row>
    <row customHeight="1" ht="11.25">
      <c r="A207" s="5647" t="s">
        <v>2274</v>
      </c>
      <c r="B207" s="5647" t="s">
        <v>16</v>
      </c>
      <c r="C207" s="5647" t="s">
        <v>2842</v>
      </c>
      <c r="D207" s="5647" t="s">
        <v>2843</v>
      </c>
      <c r="E207" s="5647" t="s">
        <v>2844</v>
      </c>
      <c r="F207" s="5647" t="s">
        <v>595</v>
      </c>
      <c r="G207" s="5647" t="s">
        <v>2841</v>
      </c>
      <c r="H207" s="5647" t="s">
        <v>28</v>
      </c>
      <c r="I207" s="5647" t="s">
        <v>1644</v>
      </c>
    </row>
    <row customHeight="1" ht="11.25">
      <c r="A208" s="5647" t="s">
        <v>2274</v>
      </c>
      <c r="B208" s="5647" t="s">
        <v>16</v>
      </c>
      <c r="C208" s="5647" t="s">
        <v>2845</v>
      </c>
      <c r="D208" s="5647" t="s">
        <v>2846</v>
      </c>
      <c r="E208" s="5647" t="s">
        <v>2847</v>
      </c>
      <c r="F208" s="5647" t="s">
        <v>595</v>
      </c>
      <c r="G208" s="5647" t="s">
        <v>2848</v>
      </c>
      <c r="H208" s="5647" t="s">
        <v>28</v>
      </c>
      <c r="I208" s="5647" t="s">
        <v>1644</v>
      </c>
    </row>
    <row customHeight="1" ht="11.25">
      <c r="A209" s="5647" t="s">
        <v>2274</v>
      </c>
      <c r="B209" s="5647" t="s">
        <v>16</v>
      </c>
      <c r="C209" s="5647" t="s">
        <v>2849</v>
      </c>
      <c r="D209" s="5647" t="s">
        <v>2850</v>
      </c>
      <c r="E209" s="5647" t="s">
        <v>2851</v>
      </c>
      <c r="F209" s="5647" t="s">
        <v>595</v>
      </c>
      <c r="G209" s="5647" t="s">
        <v>2852</v>
      </c>
      <c r="H209" s="5647" t="s">
        <v>28</v>
      </c>
      <c r="I209" s="5647" t="s">
        <v>1644</v>
      </c>
    </row>
    <row customHeight="1" ht="11.25">
      <c r="A210" s="5647" t="s">
        <v>2274</v>
      </c>
      <c r="B210" s="5647" t="s">
        <v>16</v>
      </c>
      <c r="C210" s="5647" t="s">
        <v>2853</v>
      </c>
      <c r="D210" s="5647" t="s">
        <v>2854</v>
      </c>
      <c r="E210" s="5647" t="s">
        <v>2855</v>
      </c>
      <c r="F210" s="5647" t="s">
        <v>595</v>
      </c>
      <c r="G210" s="5647" t="s">
        <v>28</v>
      </c>
      <c r="H210" s="5647" t="s">
        <v>28</v>
      </c>
      <c r="I210" s="5647" t="s">
        <v>1644</v>
      </c>
    </row>
    <row customHeight="1" ht="11.25">
      <c r="A211" s="5647" t="s">
        <v>2274</v>
      </c>
      <c r="B211" s="5647" t="s">
        <v>16</v>
      </c>
      <c r="C211" s="5647" t="s">
        <v>2856</v>
      </c>
      <c r="D211" s="5647" t="s">
        <v>2857</v>
      </c>
      <c r="E211" s="5647" t="s">
        <v>2858</v>
      </c>
      <c r="F211" s="5647" t="s">
        <v>595</v>
      </c>
      <c r="G211" s="5647" t="s">
        <v>2859</v>
      </c>
      <c r="H211" s="5647" t="s">
        <v>28</v>
      </c>
      <c r="I211" s="5647" t="s">
        <v>1644</v>
      </c>
    </row>
    <row customHeight="1" ht="11.25">
      <c r="A212" s="5647" t="s">
        <v>2274</v>
      </c>
      <c r="B212" s="5647" t="s">
        <v>16</v>
      </c>
      <c r="C212" s="5647" t="s">
        <v>2860</v>
      </c>
      <c r="D212" s="5647" t="s">
        <v>2861</v>
      </c>
      <c r="E212" s="5647" t="s">
        <v>2862</v>
      </c>
      <c r="F212" s="5647" t="s">
        <v>595</v>
      </c>
      <c r="G212" s="5647" t="s">
        <v>2863</v>
      </c>
      <c r="H212" s="5647" t="s">
        <v>28</v>
      </c>
      <c r="I212" s="5647" t="s">
        <v>1644</v>
      </c>
    </row>
    <row customHeight="1" ht="11.25">
      <c r="A213" s="5647" t="s">
        <v>2274</v>
      </c>
      <c r="B213" s="5647" t="s">
        <v>16</v>
      </c>
      <c r="C213" s="5647" t="s">
        <v>2864</v>
      </c>
      <c r="D213" s="5647" t="s">
        <v>2865</v>
      </c>
      <c r="E213" s="5647" t="s">
        <v>2866</v>
      </c>
      <c r="F213" s="5647" t="s">
        <v>595</v>
      </c>
      <c r="G213" s="5647" t="s">
        <v>2867</v>
      </c>
      <c r="H213" s="5647" t="s">
        <v>28</v>
      </c>
      <c r="I213" s="5647" t="s">
        <v>1644</v>
      </c>
    </row>
    <row customHeight="1" ht="11.25">
      <c r="A214" s="5647" t="s">
        <v>2274</v>
      </c>
      <c r="B214" s="5647" t="s">
        <v>16</v>
      </c>
      <c r="C214" s="5647" t="s">
        <v>2868</v>
      </c>
      <c r="D214" s="5647" t="s">
        <v>2869</v>
      </c>
      <c r="E214" s="5647" t="s">
        <v>2870</v>
      </c>
      <c r="F214" s="5647" t="s">
        <v>595</v>
      </c>
      <c r="G214" s="5647" t="s">
        <v>2841</v>
      </c>
      <c r="H214" s="5647" t="s">
        <v>28</v>
      </c>
      <c r="I214" s="5647" t="s">
        <v>1644</v>
      </c>
    </row>
    <row customHeight="1" ht="11.25">
      <c r="A215" s="5647" t="s">
        <v>2274</v>
      </c>
      <c r="B215" s="5647" t="s">
        <v>16</v>
      </c>
      <c r="C215" s="5647" t="s">
        <v>2871</v>
      </c>
      <c r="D215" s="5647" t="s">
        <v>2872</v>
      </c>
      <c r="E215" s="5647" t="s">
        <v>2873</v>
      </c>
      <c r="F215" s="5647" t="s">
        <v>595</v>
      </c>
      <c r="G215" s="5647" t="s">
        <v>2874</v>
      </c>
      <c r="H215" s="5647" t="s">
        <v>28</v>
      </c>
      <c r="I215" s="5647" t="s">
        <v>1644</v>
      </c>
    </row>
    <row customHeight="1" ht="11.25">
      <c r="A216" s="5647" t="s">
        <v>2274</v>
      </c>
      <c r="B216" s="5647" t="s">
        <v>16</v>
      </c>
      <c r="C216" s="5647" t="s">
        <v>2875</v>
      </c>
      <c r="D216" s="5647" t="s">
        <v>2876</v>
      </c>
      <c r="E216" s="5647" t="s">
        <v>2877</v>
      </c>
      <c r="F216" s="5647" t="s">
        <v>595</v>
      </c>
      <c r="G216" s="5647" t="s">
        <v>2878</v>
      </c>
      <c r="H216" s="5647" t="s">
        <v>28</v>
      </c>
      <c r="I216" s="5647" t="s">
        <v>1644</v>
      </c>
    </row>
    <row customHeight="1" ht="11.25">
      <c r="A217" s="5647" t="s">
        <v>2274</v>
      </c>
      <c r="B217" s="5647" t="s">
        <v>16</v>
      </c>
      <c r="C217" s="5647" t="s">
        <v>2879</v>
      </c>
      <c r="D217" s="5647" t="s">
        <v>2880</v>
      </c>
      <c r="E217" s="5647" t="s">
        <v>2881</v>
      </c>
      <c r="F217" s="5647" t="s">
        <v>2882</v>
      </c>
      <c r="G217" s="5647" t="s">
        <v>2883</v>
      </c>
      <c r="H217" s="5647" t="s">
        <v>28</v>
      </c>
      <c r="I217" s="5647" t="s">
        <v>1644</v>
      </c>
    </row>
    <row customHeight="1" ht="11.25">
      <c r="A218" s="5647" t="s">
        <v>2274</v>
      </c>
      <c r="B218" s="5647" t="s">
        <v>16</v>
      </c>
      <c r="C218" s="5647" t="s">
        <v>2420</v>
      </c>
      <c r="D218" s="5647" t="s">
        <v>2421</v>
      </c>
      <c r="E218" s="5647" t="s">
        <v>2422</v>
      </c>
      <c r="F218" s="5647" t="s">
        <v>2423</v>
      </c>
      <c r="G218" s="5647" t="s">
        <v>2424</v>
      </c>
      <c r="H218" s="5647" t="s">
        <v>28</v>
      </c>
      <c r="I218" s="5647" t="s">
        <v>1644</v>
      </c>
    </row>
    <row customHeight="1" ht="11.25">
      <c r="A219" s="5647" t="s">
        <v>2274</v>
      </c>
      <c r="B219" s="5647" t="s">
        <v>16</v>
      </c>
      <c r="C219" s="5647" t="s">
        <v>2884</v>
      </c>
      <c r="D219" s="5647" t="s">
        <v>2885</v>
      </c>
      <c r="E219" s="5647" t="s">
        <v>2886</v>
      </c>
      <c r="F219" s="5647" t="s">
        <v>2305</v>
      </c>
      <c r="G219" s="5647" t="s">
        <v>2887</v>
      </c>
      <c r="H219" s="5647" t="s">
        <v>28</v>
      </c>
      <c r="I219" s="5647" t="s">
        <v>1644</v>
      </c>
    </row>
    <row customHeight="1" ht="11.25">
      <c r="A220" s="5647" t="s">
        <v>2274</v>
      </c>
      <c r="B220" s="5647" t="s">
        <v>16</v>
      </c>
      <c r="C220" s="5647" t="s">
        <v>2888</v>
      </c>
      <c r="D220" s="5647" t="s">
        <v>2889</v>
      </c>
      <c r="E220" s="5647" t="s">
        <v>2890</v>
      </c>
      <c r="F220" s="5647" t="s">
        <v>2305</v>
      </c>
      <c r="G220" s="5647" t="s">
        <v>2891</v>
      </c>
      <c r="H220" s="5647" t="s">
        <v>28</v>
      </c>
      <c r="I220" s="5647" t="s">
        <v>1644</v>
      </c>
    </row>
    <row customHeight="1" ht="11.25">
      <c r="A221" s="5647" t="s">
        <v>2274</v>
      </c>
      <c r="B221" s="5647" t="s">
        <v>16</v>
      </c>
      <c r="C221" s="5647" t="s">
        <v>2892</v>
      </c>
      <c r="D221" s="5647" t="s">
        <v>2893</v>
      </c>
      <c r="E221" s="5647" t="s">
        <v>2894</v>
      </c>
      <c r="F221" s="5647" t="s">
        <v>2327</v>
      </c>
      <c r="G221" s="5647" t="s">
        <v>2895</v>
      </c>
      <c r="H221" s="5647" t="s">
        <v>28</v>
      </c>
      <c r="I221" s="5647" t="s">
        <v>1644</v>
      </c>
    </row>
    <row customHeight="1" ht="11.25">
      <c r="A222" s="5647" t="s">
        <v>2274</v>
      </c>
      <c r="B222" s="5647" t="s">
        <v>16</v>
      </c>
      <c r="C222" s="5647" t="s">
        <v>2896</v>
      </c>
      <c r="D222" s="5647" t="s">
        <v>2897</v>
      </c>
      <c r="E222" s="5647" t="s">
        <v>2898</v>
      </c>
      <c r="F222" s="5647" t="s">
        <v>2508</v>
      </c>
      <c r="G222" s="5647" t="s">
        <v>2899</v>
      </c>
      <c r="H222" s="5647" t="s">
        <v>28</v>
      </c>
      <c r="I222" s="5647" t="s">
        <v>1644</v>
      </c>
    </row>
    <row customHeight="1" ht="11.25">
      <c r="A223" s="5647" t="s">
        <v>2274</v>
      </c>
      <c r="B223" s="5647" t="s">
        <v>16</v>
      </c>
      <c r="C223" s="5647" t="s">
        <v>2900</v>
      </c>
      <c r="D223" s="5647" t="s">
        <v>2901</v>
      </c>
      <c r="E223" s="5647" t="s">
        <v>2902</v>
      </c>
      <c r="F223" s="5647" t="s">
        <v>2305</v>
      </c>
      <c r="G223" s="5647" t="s">
        <v>2903</v>
      </c>
      <c r="H223" s="5647" t="s">
        <v>28</v>
      </c>
      <c r="I223" s="5647" t="s">
        <v>1644</v>
      </c>
    </row>
    <row customHeight="1" ht="11.25">
      <c r="A224" s="5647" t="s">
        <v>2274</v>
      </c>
      <c r="B224" s="5647" t="s">
        <v>16</v>
      </c>
      <c r="C224" s="5647" t="s">
        <v>2904</v>
      </c>
      <c r="D224" s="5647" t="s">
        <v>2905</v>
      </c>
      <c r="E224" s="5647" t="s">
        <v>2906</v>
      </c>
      <c r="F224" s="5647" t="s">
        <v>2305</v>
      </c>
      <c r="G224" s="5647" t="s">
        <v>2907</v>
      </c>
      <c r="H224" s="5647" t="s">
        <v>28</v>
      </c>
      <c r="I224" s="5647" t="s">
        <v>1644</v>
      </c>
    </row>
    <row customHeight="1" ht="11.25">
      <c r="A225" s="5647" t="s">
        <v>2274</v>
      </c>
      <c r="B225" s="5647" t="s">
        <v>16</v>
      </c>
      <c r="C225" s="5647" t="s">
        <v>2908</v>
      </c>
      <c r="D225" s="5647" t="s">
        <v>2909</v>
      </c>
      <c r="E225" s="5647" t="s">
        <v>2910</v>
      </c>
      <c r="F225" s="5647" t="s">
        <v>2341</v>
      </c>
      <c r="G225" s="5647" t="s">
        <v>2911</v>
      </c>
      <c r="H225" s="5647" t="s">
        <v>28</v>
      </c>
      <c r="I225" s="5647" t="s">
        <v>1644</v>
      </c>
    </row>
    <row customHeight="1" ht="11.25">
      <c r="A226" s="5647" t="s">
        <v>2274</v>
      </c>
      <c r="B226" s="5647" t="s">
        <v>16</v>
      </c>
      <c r="C226" s="5647" t="s">
        <v>2912</v>
      </c>
      <c r="D226" s="5647" t="s">
        <v>2913</v>
      </c>
      <c r="E226" s="5647" t="s">
        <v>2914</v>
      </c>
      <c r="F226" s="5647" t="s">
        <v>2305</v>
      </c>
      <c r="G226" s="5647" t="s">
        <v>2915</v>
      </c>
      <c r="H226" s="5647" t="s">
        <v>28</v>
      </c>
      <c r="I226" s="5647" t="s">
        <v>1644</v>
      </c>
    </row>
    <row customHeight="1" ht="11.25">
      <c r="A227" s="5647" t="s">
        <v>2274</v>
      </c>
      <c r="B227" s="5647" t="s">
        <v>16</v>
      </c>
      <c r="C227" s="5647" t="s">
        <v>2916</v>
      </c>
      <c r="D227" s="5647" t="s">
        <v>2917</v>
      </c>
      <c r="E227" s="5647" t="s">
        <v>2918</v>
      </c>
      <c r="F227" s="5647" t="s">
        <v>2336</v>
      </c>
      <c r="G227" s="5647" t="s">
        <v>2919</v>
      </c>
      <c r="H227" s="5647" t="s">
        <v>28</v>
      </c>
      <c r="I227" s="5647" t="s">
        <v>1644</v>
      </c>
    </row>
    <row customHeight="1" ht="11.25">
      <c r="A228" s="5647" t="s">
        <v>2274</v>
      </c>
      <c r="B228" s="5647" t="s">
        <v>16</v>
      </c>
      <c r="C228" s="5647" t="s">
        <v>2920</v>
      </c>
      <c r="D228" s="5647" t="s">
        <v>2921</v>
      </c>
      <c r="E228" s="5647" t="s">
        <v>2922</v>
      </c>
      <c r="F228" s="5647" t="s">
        <v>2563</v>
      </c>
      <c r="G228" s="5647" t="s">
        <v>2923</v>
      </c>
      <c r="H228" s="5647" t="s">
        <v>28</v>
      </c>
      <c r="I228" s="5647" t="s">
        <v>1644</v>
      </c>
    </row>
    <row customHeight="1" ht="11.25">
      <c r="A229" s="5647" t="s">
        <v>2274</v>
      </c>
      <c r="B229" s="5647" t="s">
        <v>16</v>
      </c>
      <c r="C229" s="5647" t="s">
        <v>2924</v>
      </c>
      <c r="D229" s="5647" t="s">
        <v>2921</v>
      </c>
      <c r="E229" s="5647" t="s">
        <v>2922</v>
      </c>
      <c r="F229" s="5647" t="s">
        <v>2317</v>
      </c>
      <c r="G229" s="5647" t="s">
        <v>2923</v>
      </c>
      <c r="H229" s="5647" t="s">
        <v>28</v>
      </c>
      <c r="I229" s="5647" t="s">
        <v>1644</v>
      </c>
    </row>
    <row customHeight="1" ht="11.25">
      <c r="A230" s="5647" t="s">
        <v>2274</v>
      </c>
      <c r="B230" s="5647" t="s">
        <v>16</v>
      </c>
      <c r="C230" s="5647" t="s">
        <v>2925</v>
      </c>
      <c r="D230" s="5647" t="s">
        <v>2926</v>
      </c>
      <c r="E230" s="5647" t="s">
        <v>2927</v>
      </c>
      <c r="F230" s="5647" t="s">
        <v>2317</v>
      </c>
      <c r="G230" s="5647" t="s">
        <v>2928</v>
      </c>
      <c r="H230" s="5647" t="s">
        <v>28</v>
      </c>
      <c r="I230" s="5647" t="s">
        <v>1644</v>
      </c>
    </row>
    <row customHeight="1" ht="11.25">
      <c r="A231" s="5647" t="s">
        <v>2274</v>
      </c>
      <c r="B231" s="5647" t="s">
        <v>16</v>
      </c>
      <c r="C231" s="5647" t="s">
        <v>2929</v>
      </c>
      <c r="D231" s="5647" t="s">
        <v>2930</v>
      </c>
      <c r="E231" s="5647" t="s">
        <v>2931</v>
      </c>
      <c r="F231" s="5647" t="s">
        <v>2317</v>
      </c>
      <c r="G231" s="5647" t="s">
        <v>2932</v>
      </c>
      <c r="H231" s="5647" t="s">
        <v>28</v>
      </c>
      <c r="I231" s="5647" t="s">
        <v>1644</v>
      </c>
    </row>
    <row customHeight="1" ht="11.25">
      <c r="A232" s="5647" t="s">
        <v>2274</v>
      </c>
      <c r="B232" s="5647" t="s">
        <v>16</v>
      </c>
      <c r="C232" s="5647" t="s">
        <v>2933</v>
      </c>
      <c r="D232" s="5647" t="s">
        <v>2934</v>
      </c>
      <c r="E232" s="5647" t="s">
        <v>2935</v>
      </c>
      <c r="F232" s="5647" t="s">
        <v>2327</v>
      </c>
      <c r="G232" s="5647" t="s">
        <v>2936</v>
      </c>
      <c r="H232" s="5647" t="s">
        <v>28</v>
      </c>
      <c r="I232" s="5647" t="s">
        <v>1644</v>
      </c>
    </row>
    <row customHeight="1" ht="11.25">
      <c r="A233" s="5647" t="s">
        <v>2274</v>
      </c>
      <c r="B233" s="5647" t="s">
        <v>16</v>
      </c>
      <c r="C233" s="5647" t="s">
        <v>2937</v>
      </c>
      <c r="D233" s="5647" t="s">
        <v>2938</v>
      </c>
      <c r="E233" s="5647" t="s">
        <v>2939</v>
      </c>
      <c r="F233" s="5647" t="s">
        <v>2327</v>
      </c>
      <c r="G233" s="5647" t="s">
        <v>2940</v>
      </c>
      <c r="H233" s="5647" t="s">
        <v>28</v>
      </c>
      <c r="I233" s="5647" t="s">
        <v>1644</v>
      </c>
    </row>
    <row customHeight="1" ht="11.25">
      <c r="A234" s="5647" t="s">
        <v>2274</v>
      </c>
      <c r="B234" s="5647" t="s">
        <v>16</v>
      </c>
      <c r="C234" s="5647" t="s">
        <v>2941</v>
      </c>
      <c r="D234" s="5647" t="s">
        <v>2942</v>
      </c>
      <c r="E234" s="5647" t="s">
        <v>2943</v>
      </c>
      <c r="F234" s="5647" t="s">
        <v>2317</v>
      </c>
      <c r="G234" s="5647" t="s">
        <v>2944</v>
      </c>
      <c r="H234" s="5647" t="s">
        <v>28</v>
      </c>
      <c r="I234" s="5647" t="s">
        <v>1644</v>
      </c>
    </row>
    <row customHeight="1" ht="11.25">
      <c r="A235" s="5647" t="s">
        <v>2274</v>
      </c>
      <c r="B235" s="5647" t="s">
        <v>16</v>
      </c>
      <c r="C235" s="5647" t="s">
        <v>2945</v>
      </c>
      <c r="D235" s="5647" t="s">
        <v>2946</v>
      </c>
      <c r="E235" s="5647" t="s">
        <v>2947</v>
      </c>
      <c r="F235" s="5647" t="s">
        <v>2322</v>
      </c>
      <c r="G235" s="5647" t="s">
        <v>2948</v>
      </c>
      <c r="H235" s="5647" t="s">
        <v>28</v>
      </c>
      <c r="I235" s="5647" t="s">
        <v>1644</v>
      </c>
    </row>
    <row customHeight="1" ht="11.25">
      <c r="A236" s="5647" t="s">
        <v>2274</v>
      </c>
      <c r="B236" s="5647" t="s">
        <v>16</v>
      </c>
      <c r="C236" s="5647" t="s">
        <v>2949</v>
      </c>
      <c r="D236" s="5647" t="s">
        <v>2950</v>
      </c>
      <c r="E236" s="5647" t="s">
        <v>2951</v>
      </c>
      <c r="F236" s="5647" t="s">
        <v>2305</v>
      </c>
      <c r="G236" s="5647" t="s">
        <v>2952</v>
      </c>
      <c r="H236" s="5647" t="s">
        <v>28</v>
      </c>
      <c r="I236" s="5647" t="s">
        <v>1644</v>
      </c>
    </row>
    <row customHeight="1" ht="11.25">
      <c r="A237" s="5647" t="s">
        <v>2274</v>
      </c>
      <c r="B237" s="5647" t="s">
        <v>16</v>
      </c>
      <c r="C237" s="5647" t="s">
        <v>2514</v>
      </c>
      <c r="D237" s="5647" t="s">
        <v>2515</v>
      </c>
      <c r="E237" s="5647" t="s">
        <v>2516</v>
      </c>
      <c r="F237" s="5647" t="s">
        <v>2508</v>
      </c>
      <c r="G237" s="5647" t="s">
        <v>2517</v>
      </c>
      <c r="H237" s="5647" t="s">
        <v>28</v>
      </c>
      <c r="I237" s="5647" t="s">
        <v>1644</v>
      </c>
    </row>
    <row customHeight="1" ht="11.25">
      <c r="A238" s="5647" t="s">
        <v>2274</v>
      </c>
      <c r="B238" s="5647" t="s">
        <v>16</v>
      </c>
      <c r="C238" s="5647" t="s">
        <v>2953</v>
      </c>
      <c r="D238" s="5647" t="s">
        <v>2954</v>
      </c>
      <c r="E238" s="5647" t="s">
        <v>2955</v>
      </c>
      <c r="F238" s="5647" t="s">
        <v>2341</v>
      </c>
      <c r="G238" s="5647" t="s">
        <v>2956</v>
      </c>
      <c r="H238" s="5647" t="s">
        <v>28</v>
      </c>
      <c r="I238" s="5647" t="s">
        <v>1644</v>
      </c>
    </row>
    <row customHeight="1" ht="11.25">
      <c r="A239" s="5647" t="s">
        <v>2274</v>
      </c>
      <c r="B239" s="5647" t="s">
        <v>16</v>
      </c>
      <c r="C239" s="5647" t="s">
        <v>2957</v>
      </c>
      <c r="D239" s="5647" t="s">
        <v>2958</v>
      </c>
      <c r="E239" s="5647" t="s">
        <v>2959</v>
      </c>
      <c r="F239" s="5647" t="s">
        <v>2508</v>
      </c>
      <c r="G239" s="5647" t="s">
        <v>2960</v>
      </c>
      <c r="H239" s="5647" t="s">
        <v>28</v>
      </c>
      <c r="I239" s="5647" t="s">
        <v>1644</v>
      </c>
    </row>
    <row customHeight="1" ht="11.25">
      <c r="A240" s="5647" t="s">
        <v>2274</v>
      </c>
      <c r="B240" s="5647" t="s">
        <v>16</v>
      </c>
      <c r="C240" s="5647" t="s">
        <v>2961</v>
      </c>
      <c r="D240" s="5647" t="s">
        <v>2962</v>
      </c>
      <c r="E240" s="5647" t="s">
        <v>2963</v>
      </c>
      <c r="F240" s="5647" t="s">
        <v>2508</v>
      </c>
      <c r="G240" s="5647" t="s">
        <v>2964</v>
      </c>
      <c r="H240" s="5647" t="s">
        <v>28</v>
      </c>
      <c r="I240" s="5647" t="s">
        <v>1644</v>
      </c>
    </row>
    <row customHeight="1" ht="11.25">
      <c r="A241" s="5647" t="s">
        <v>2274</v>
      </c>
      <c r="B241" s="5647" t="s">
        <v>16</v>
      </c>
      <c r="C241" s="5647" t="s">
        <v>2965</v>
      </c>
      <c r="D241" s="5647" t="s">
        <v>2966</v>
      </c>
      <c r="E241" s="5647" t="s">
        <v>2967</v>
      </c>
      <c r="F241" s="5647" t="s">
        <v>2508</v>
      </c>
      <c r="G241" s="5647" t="s">
        <v>2968</v>
      </c>
      <c r="H241" s="5647" t="s">
        <v>28</v>
      </c>
      <c r="I241" s="5647" t="s">
        <v>1644</v>
      </c>
    </row>
    <row customHeight="1" ht="11.25">
      <c r="A242" s="5647" t="s">
        <v>2274</v>
      </c>
      <c r="B242" s="5647" t="s">
        <v>16</v>
      </c>
      <c r="C242" s="5647" t="s">
        <v>2969</v>
      </c>
      <c r="D242" s="5647" t="s">
        <v>2970</v>
      </c>
      <c r="E242" s="5647" t="s">
        <v>2971</v>
      </c>
      <c r="F242" s="5647" t="s">
        <v>2563</v>
      </c>
      <c r="G242" s="5647" t="s">
        <v>2972</v>
      </c>
      <c r="H242" s="5647" t="s">
        <v>28</v>
      </c>
      <c r="I242" s="5647" t="s">
        <v>1644</v>
      </c>
    </row>
    <row customHeight="1" ht="11.25">
      <c r="A243" s="5647" t="s">
        <v>2274</v>
      </c>
      <c r="B243" s="5647" t="s">
        <v>16</v>
      </c>
      <c r="C243" s="5647" t="s">
        <v>2973</v>
      </c>
      <c r="D243" s="5647" t="s">
        <v>2974</v>
      </c>
      <c r="E243" s="5647" t="s">
        <v>2975</v>
      </c>
      <c r="F243" s="5647" t="s">
        <v>2976</v>
      </c>
      <c r="G243" s="5647" t="s">
        <v>2977</v>
      </c>
      <c r="H243" s="5647" t="s">
        <v>28</v>
      </c>
      <c r="I243" s="5647" t="s">
        <v>1644</v>
      </c>
    </row>
    <row customHeight="1" ht="11.25">
      <c r="A244" s="5647" t="s">
        <v>2274</v>
      </c>
      <c r="B244" s="5647" t="s">
        <v>16</v>
      </c>
      <c r="C244" s="5647" t="s">
        <v>2978</v>
      </c>
      <c r="D244" s="5647" t="s">
        <v>2979</v>
      </c>
      <c r="E244" s="5647" t="s">
        <v>2980</v>
      </c>
      <c r="F244" s="5647" t="s">
        <v>2613</v>
      </c>
      <c r="G244" s="5647" t="s">
        <v>2981</v>
      </c>
      <c r="H244" s="5647" t="s">
        <v>28</v>
      </c>
      <c r="I244" s="5647" t="s">
        <v>1644</v>
      </c>
    </row>
    <row customHeight="1" ht="11.25">
      <c r="A245" s="5647" t="s">
        <v>2274</v>
      </c>
      <c r="B245" s="5647" t="s">
        <v>16</v>
      </c>
      <c r="C245" s="5647" t="s">
        <v>2982</v>
      </c>
      <c r="D245" s="5647" t="s">
        <v>2983</v>
      </c>
      <c r="E245" s="5647" t="s">
        <v>2984</v>
      </c>
      <c r="F245" s="5647" t="s">
        <v>2508</v>
      </c>
      <c r="G245" s="5647" t="s">
        <v>2985</v>
      </c>
      <c r="H245" s="5647" t="s">
        <v>28</v>
      </c>
      <c r="I245" s="5647" t="s">
        <v>1644</v>
      </c>
    </row>
    <row customHeight="1" ht="11.25">
      <c r="A246" s="5662" t="s">
        <v>2274</v>
      </c>
      <c r="B246" s="5662" t="s">
        <v>16</v>
      </c>
      <c r="C246" s="5662" t="s">
        <v>2986</v>
      </c>
      <c r="D246" s="5662" t="s">
        <v>2987</v>
      </c>
      <c r="E246" s="5662" t="s">
        <v>2988</v>
      </c>
      <c r="F246" s="5662" t="s">
        <v>2508</v>
      </c>
      <c r="G246" s="5662" t="s">
        <v>2989</v>
      </c>
      <c r="H246" s="5662" t="s">
        <v>28</v>
      </c>
      <c r="I246" s="5662" t="s">
        <v>1644</v>
      </c>
    </row>
    <row customHeight="1" ht="11.25">
      <c r="A247" s="5662" t="s">
        <v>2274</v>
      </c>
      <c r="B247" s="5662" t="s">
        <v>16</v>
      </c>
      <c r="C247" s="5662" t="s">
        <v>2990</v>
      </c>
      <c r="D247" s="5662" t="s">
        <v>2991</v>
      </c>
      <c r="E247" s="5662" t="s">
        <v>2992</v>
      </c>
      <c r="F247" s="5662" t="s">
        <v>2336</v>
      </c>
      <c r="G247" s="5662" t="s">
        <v>2952</v>
      </c>
      <c r="H247" s="5662" t="s">
        <v>28</v>
      </c>
      <c r="I247" s="5662" t="s">
        <v>1644</v>
      </c>
    </row>
    <row customHeight="1" ht="11.25">
      <c r="A248" s="5662" t="s">
        <v>2274</v>
      </c>
      <c r="B248" s="5662" t="s">
        <v>16</v>
      </c>
      <c r="C248" s="5662" t="s">
        <v>2993</v>
      </c>
      <c r="D248" s="5662" t="s">
        <v>2994</v>
      </c>
      <c r="E248" s="5662" t="s">
        <v>2995</v>
      </c>
      <c r="F248" s="5662" t="s">
        <v>2336</v>
      </c>
      <c r="G248" s="5662" t="s">
        <v>2996</v>
      </c>
      <c r="H248" s="5662" t="s">
        <v>28</v>
      </c>
      <c r="I248" s="5662" t="s">
        <v>1644</v>
      </c>
    </row>
    <row customHeight="1" ht="11.25">
      <c r="A249" s="5662" t="s">
        <v>2274</v>
      </c>
      <c r="B249" s="5662" t="s">
        <v>16</v>
      </c>
      <c r="C249" s="5662" t="s">
        <v>2997</v>
      </c>
      <c r="D249" s="5662" t="s">
        <v>2998</v>
      </c>
      <c r="E249" s="5662" t="s">
        <v>2999</v>
      </c>
      <c r="F249" s="5662" t="s">
        <v>2292</v>
      </c>
      <c r="G249" s="5662" t="s">
        <v>2952</v>
      </c>
      <c r="H249" s="5662" t="s">
        <v>28</v>
      </c>
      <c r="I249" s="5662" t="s">
        <v>1644</v>
      </c>
    </row>
    <row customHeight="1" ht="11.25">
      <c r="A250" s="5662" t="s">
        <v>2274</v>
      </c>
      <c r="B250" s="5662" t="s">
        <v>16</v>
      </c>
      <c r="C250" s="5662" t="s">
        <v>3000</v>
      </c>
      <c r="D250" s="5662" t="s">
        <v>3001</v>
      </c>
      <c r="E250" s="5662" t="s">
        <v>3002</v>
      </c>
      <c r="F250" s="5662" t="s">
        <v>2305</v>
      </c>
      <c r="G250" s="5662" t="s">
        <v>3003</v>
      </c>
      <c r="H250" s="5662" t="s">
        <v>28</v>
      </c>
      <c r="I250" s="5662" t="s">
        <v>1644</v>
      </c>
    </row>
    <row customHeight="1" ht="11.25">
      <c r="A251" s="5662" t="s">
        <v>2274</v>
      </c>
      <c r="B251" s="5662" t="s">
        <v>16</v>
      </c>
      <c r="C251" s="5662" t="s">
        <v>3004</v>
      </c>
      <c r="D251" s="5662" t="s">
        <v>3005</v>
      </c>
      <c r="E251" s="5662" t="s">
        <v>3006</v>
      </c>
      <c r="F251" s="5662" t="s">
        <v>2403</v>
      </c>
      <c r="G251" s="5662" t="s">
        <v>3007</v>
      </c>
      <c r="H251" s="5662" t="s">
        <v>28</v>
      </c>
      <c r="I251" s="5662" t="s">
        <v>1644</v>
      </c>
    </row>
    <row customHeight="1" ht="11.25">
      <c r="A252" s="5662" t="s">
        <v>2274</v>
      </c>
      <c r="B252" s="5662" t="s">
        <v>16</v>
      </c>
      <c r="C252" s="5662" t="s">
        <v>3008</v>
      </c>
      <c r="D252" s="5662" t="s">
        <v>3009</v>
      </c>
      <c r="E252" s="5662" t="s">
        <v>3010</v>
      </c>
      <c r="F252" s="5662" t="s">
        <v>3011</v>
      </c>
      <c r="G252" s="5662" t="s">
        <v>3012</v>
      </c>
      <c r="H252" s="5662" t="s">
        <v>28</v>
      </c>
      <c r="I252" s="5662" t="s">
        <v>1644</v>
      </c>
    </row>
    <row customHeight="1" ht="11.25">
      <c r="A253" s="5662" t="s">
        <v>2274</v>
      </c>
      <c r="B253" s="5662" t="s">
        <v>16</v>
      </c>
      <c r="C253" s="5662" t="s">
        <v>28</v>
      </c>
      <c r="D253" s="5662" t="s">
        <v>2561</v>
      </c>
      <c r="E253" s="5662" t="s">
        <v>2562</v>
      </c>
      <c r="F253" s="5662" t="s">
        <v>2563</v>
      </c>
      <c r="G253" s="5662" t="s">
        <v>28</v>
      </c>
      <c r="H253" s="5662" t="s">
        <v>28</v>
      </c>
      <c r="I253" s="5662"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54C72-50CB-D8EC-B5D6-9C647E1C90B5}" mc:Ignorable="x14ac xr xr2 xr3">
  <sheetPr>
    <tabColor rgb="FFFFCC99"/>
  </sheetPr>
  <dimension ref="A1:G44"/>
  <sheetViews>
    <sheetView topLeftCell="A1" showGridLines="0" workbookViewId="0">
      <selection activeCell="A1" sqref="A1"/>
    </sheetView>
  </sheetViews>
  <sheetFormatPr customHeight="1" defaultRowHeight="11.25"/>
  <cols>
    <col min="1" max="1" style="5662" width="9.140625"/>
  </cols>
  <sheetData>
    <row customHeight="1" ht="11.25">
      <c r="A1" s="438" t="s">
        <v>3013</v>
      </c>
      <c r="B1" s="127" t="s">
        <v>3014</v>
      </c>
      <c r="C1" s="127" t="s">
        <v>3015</v>
      </c>
      <c r="D1" s="127" t="s">
        <v>3016</v>
      </c>
      <c r="E1" s="65" t="s">
        <v>3017</v>
      </c>
      <c r="F1" s="65" t="s">
        <v>3018</v>
      </c>
      <c r="G1" s="65" t="s">
        <v>3019</v>
      </c>
    </row>
    <row customHeight="1" ht="11.25">
      <c r="A2" s="438" t="s">
        <v>16</v>
      </c>
      <c r="B2" s="0" t="s">
        <v>3020</v>
      </c>
      <c r="C2" s="0" t="s">
        <v>3021</v>
      </c>
      <c r="D2" s="0" t="s">
        <v>3020</v>
      </c>
      <c r="E2" s="0" t="s">
        <v>3021</v>
      </c>
      <c r="F2" s="0" t="s">
        <v>3022</v>
      </c>
      <c r="G2" s="0" t="s">
        <v>112</v>
      </c>
    </row>
    <row customHeight="1" ht="11.25">
      <c r="A3" s="438" t="s">
        <v>16</v>
      </c>
      <c r="B3" s="0" t="s">
        <v>3023</v>
      </c>
      <c r="C3" s="0" t="s">
        <v>3024</v>
      </c>
      <c r="D3" s="0" t="s">
        <v>3023</v>
      </c>
      <c r="E3" s="0" t="s">
        <v>3024</v>
      </c>
      <c r="F3" s="0" t="s">
        <v>3022</v>
      </c>
      <c r="G3" s="0" t="s">
        <v>113</v>
      </c>
    </row>
    <row customHeight="1" ht="11.25">
      <c r="A4" s="438" t="s">
        <v>16</v>
      </c>
      <c r="B4" s="0" t="s">
        <v>3025</v>
      </c>
      <c r="C4" s="0" t="s">
        <v>3026</v>
      </c>
      <c r="D4" s="0" t="s">
        <v>3025</v>
      </c>
      <c r="E4" s="0" t="s">
        <v>3026</v>
      </c>
      <c r="F4" s="0" t="s">
        <v>3022</v>
      </c>
      <c r="G4" s="0" t="s">
        <v>93</v>
      </c>
    </row>
    <row customHeight="1" ht="11.25">
      <c r="A5" s="438" t="s">
        <v>16</v>
      </c>
      <c r="B5" s="0" t="s">
        <v>3027</v>
      </c>
      <c r="C5" s="0" t="s">
        <v>3028</v>
      </c>
      <c r="D5" s="0" t="s">
        <v>3027</v>
      </c>
      <c r="E5" s="0" t="s">
        <v>3028</v>
      </c>
      <c r="F5" s="0" t="s">
        <v>3022</v>
      </c>
      <c r="G5" s="0" t="s">
        <v>94</v>
      </c>
    </row>
    <row customHeight="1" ht="11.25">
      <c r="A6" s="438" t="s">
        <v>16</v>
      </c>
      <c r="B6" s="0" t="s">
        <v>3029</v>
      </c>
      <c r="C6" s="0" t="s">
        <v>3030</v>
      </c>
      <c r="D6" s="0" t="s">
        <v>3029</v>
      </c>
      <c r="E6" s="0" t="s">
        <v>3030</v>
      </c>
      <c r="F6" s="0" t="s">
        <v>3031</v>
      </c>
      <c r="G6" s="0" t="s">
        <v>114</v>
      </c>
    </row>
    <row customHeight="1" ht="11.25">
      <c r="A7" s="438" t="s">
        <v>16</v>
      </c>
      <c r="B7" s="0" t="s">
        <v>3032</v>
      </c>
      <c r="C7" s="0" t="s">
        <v>3033</v>
      </c>
      <c r="D7" s="0" t="s">
        <v>3032</v>
      </c>
      <c r="E7" s="0" t="s">
        <v>3033</v>
      </c>
      <c r="F7" s="0" t="s">
        <v>3022</v>
      </c>
      <c r="G7" s="0" t="s">
        <v>95</v>
      </c>
    </row>
    <row customHeight="1" ht="11.25">
      <c r="A8" s="438" t="s">
        <v>16</v>
      </c>
      <c r="B8" s="0" t="s">
        <v>3034</v>
      </c>
      <c r="C8" s="0" t="s">
        <v>3035</v>
      </c>
      <c r="D8" s="0" t="s">
        <v>3034</v>
      </c>
      <c r="E8" s="0" t="s">
        <v>3035</v>
      </c>
      <c r="F8" s="0" t="s">
        <v>3022</v>
      </c>
      <c r="G8" s="0" t="s">
        <v>96</v>
      </c>
    </row>
    <row customHeight="1" ht="11.25">
      <c r="A9" s="438" t="s">
        <v>16</v>
      </c>
      <c r="B9" s="0" t="s">
        <v>3036</v>
      </c>
      <c r="C9" s="0" t="s">
        <v>3037</v>
      </c>
      <c r="D9" s="0" t="s">
        <v>3036</v>
      </c>
      <c r="E9" s="0" t="s">
        <v>3037</v>
      </c>
      <c r="F9" s="0" t="s">
        <v>3031</v>
      </c>
      <c r="G9" s="0" t="s">
        <v>115</v>
      </c>
    </row>
    <row customHeight="1" ht="11.25">
      <c r="A10" s="438" t="s">
        <v>16</v>
      </c>
      <c r="B10" s="0" t="s">
        <v>3038</v>
      </c>
      <c r="C10" s="0" t="s">
        <v>3039</v>
      </c>
      <c r="D10" s="0" t="s">
        <v>3038</v>
      </c>
      <c r="E10" s="0" t="s">
        <v>3039</v>
      </c>
      <c r="F10" s="0" t="s">
        <v>3022</v>
      </c>
      <c r="G10" s="0" t="s">
        <v>151</v>
      </c>
    </row>
    <row customHeight="1" ht="11.25">
      <c r="A11" s="438" t="s">
        <v>16</v>
      </c>
      <c r="B11" s="0" t="s">
        <v>3040</v>
      </c>
      <c r="C11" s="0" t="s">
        <v>3041</v>
      </c>
      <c r="D11" s="0" t="s">
        <v>3040</v>
      </c>
      <c r="E11" s="0" t="s">
        <v>3041</v>
      </c>
      <c r="F11" s="0" t="s">
        <v>3031</v>
      </c>
      <c r="G11" s="0" t="s">
        <v>152</v>
      </c>
    </row>
    <row customHeight="1" ht="11.25">
      <c r="A12" s="438" t="s">
        <v>16</v>
      </c>
      <c r="B12" s="0" t="s">
        <v>3042</v>
      </c>
      <c r="C12" s="0" t="s">
        <v>3043</v>
      </c>
      <c r="D12" s="0" t="s">
        <v>3042</v>
      </c>
      <c r="E12" s="0" t="s">
        <v>3043</v>
      </c>
      <c r="F12" s="0" t="s">
        <v>3031</v>
      </c>
      <c r="G12" s="0" t="s">
        <v>153</v>
      </c>
    </row>
    <row customHeight="1" ht="11.25">
      <c r="A13" s="438" t="s">
        <v>16</v>
      </c>
      <c r="B13" s="0" t="s">
        <v>3044</v>
      </c>
      <c r="C13" s="0" t="s">
        <v>3045</v>
      </c>
      <c r="D13" s="0" t="s">
        <v>3044</v>
      </c>
      <c r="E13" s="0" t="s">
        <v>3045</v>
      </c>
      <c r="F13" s="0" t="s">
        <v>3031</v>
      </c>
      <c r="G13" s="0" t="s">
        <v>154</v>
      </c>
    </row>
    <row customHeight="1" ht="11.25">
      <c r="A14" s="438" t="s">
        <v>16</v>
      </c>
      <c r="B14" s="0" t="s">
        <v>3046</v>
      </c>
      <c r="C14" s="0" t="s">
        <v>3047</v>
      </c>
      <c r="D14" s="0" t="s">
        <v>3046</v>
      </c>
      <c r="E14" s="0" t="s">
        <v>3047</v>
      </c>
      <c r="F14" s="0" t="s">
        <v>3031</v>
      </c>
      <c r="G14" s="0" t="s">
        <v>155</v>
      </c>
    </row>
    <row customHeight="1" ht="11.25">
      <c r="A15" s="438" t="s">
        <v>16</v>
      </c>
      <c r="B15" s="0" t="s">
        <v>3048</v>
      </c>
      <c r="C15" s="0" t="s">
        <v>3049</v>
      </c>
      <c r="D15" s="0" t="s">
        <v>3048</v>
      </c>
      <c r="E15" s="0" t="s">
        <v>3049</v>
      </c>
      <c r="F15" s="0" t="s">
        <v>3031</v>
      </c>
      <c r="G15" s="0" t="s">
        <v>156</v>
      </c>
    </row>
    <row customHeight="1" ht="11.25">
      <c r="A16" s="438" t="s">
        <v>16</v>
      </c>
      <c r="B16" s="0" t="s">
        <v>3050</v>
      </c>
      <c r="C16" s="0" t="s">
        <v>3051</v>
      </c>
      <c r="D16" s="0" t="s">
        <v>3050</v>
      </c>
      <c r="E16" s="0" t="s">
        <v>3051</v>
      </c>
      <c r="F16" s="0" t="s">
        <v>3031</v>
      </c>
      <c r="G16" s="0" t="s">
        <v>1489</v>
      </c>
    </row>
    <row customHeight="1" ht="11.25">
      <c r="A17" s="438" t="s">
        <v>16</v>
      </c>
      <c r="B17" s="0" t="s">
        <v>3052</v>
      </c>
      <c r="C17" s="0" t="s">
        <v>3053</v>
      </c>
      <c r="D17" s="0" t="s">
        <v>3052</v>
      </c>
      <c r="E17" s="0" t="s">
        <v>3053</v>
      </c>
      <c r="F17" s="0" t="s">
        <v>3031</v>
      </c>
      <c r="G17" s="0" t="s">
        <v>1495</v>
      </c>
    </row>
    <row customHeight="1" ht="11.25">
      <c r="A18" s="438" t="s">
        <v>16</v>
      </c>
      <c r="B18" s="0" t="s">
        <v>3054</v>
      </c>
      <c r="C18" s="0" t="s">
        <v>3055</v>
      </c>
      <c r="D18" s="0" t="s">
        <v>3054</v>
      </c>
      <c r="E18" s="0" t="s">
        <v>3055</v>
      </c>
      <c r="F18" s="0" t="s">
        <v>3022</v>
      </c>
      <c r="G18" s="0" t="s">
        <v>1507</v>
      </c>
    </row>
    <row customHeight="1" ht="11.25">
      <c r="A19" s="438" t="s">
        <v>16</v>
      </c>
      <c r="B19" s="0" t="s">
        <v>3056</v>
      </c>
      <c r="C19" s="0" t="s">
        <v>3057</v>
      </c>
      <c r="D19" s="0" t="s">
        <v>3056</v>
      </c>
      <c r="E19" s="0" t="s">
        <v>3057</v>
      </c>
      <c r="F19" s="0" t="s">
        <v>3031</v>
      </c>
      <c r="G19" s="0" t="s">
        <v>1521</v>
      </c>
    </row>
    <row customHeight="1" ht="11.25">
      <c r="A20" s="438" t="s">
        <v>16</v>
      </c>
      <c r="B20" s="0" t="s">
        <v>103</v>
      </c>
      <c r="C20" s="0" t="s">
        <v>104</v>
      </c>
      <c r="D20" s="0" t="s">
        <v>103</v>
      </c>
      <c r="E20" s="0" t="s">
        <v>104</v>
      </c>
      <c r="F20" s="0" t="s">
        <v>3022</v>
      </c>
      <c r="G20" s="0" t="s">
        <v>102</v>
      </c>
    </row>
    <row customHeight="1" ht="11.25">
      <c r="A21" s="438" t="s">
        <v>16</v>
      </c>
      <c r="B21" s="0" t="s">
        <v>3058</v>
      </c>
      <c r="C21" s="0" t="s">
        <v>3059</v>
      </c>
      <c r="D21" s="0" t="s">
        <v>3058</v>
      </c>
      <c r="E21" s="0" t="s">
        <v>3059</v>
      </c>
      <c r="F21" s="0" t="s">
        <v>3031</v>
      </c>
      <c r="G21" s="0" t="s">
        <v>1541</v>
      </c>
    </row>
    <row customHeight="1" ht="11.25">
      <c r="A22" s="438" t="s">
        <v>16</v>
      </c>
      <c r="B22" s="0" t="s">
        <v>3060</v>
      </c>
      <c r="C22" s="0" t="s">
        <v>3061</v>
      </c>
      <c r="D22" s="0" t="s">
        <v>3060</v>
      </c>
      <c r="E22" s="0" t="s">
        <v>3061</v>
      </c>
      <c r="F22" s="0" t="s">
        <v>3022</v>
      </c>
      <c r="G22" s="0" t="s">
        <v>1557</v>
      </c>
    </row>
    <row customHeight="1" ht="11.25">
      <c r="A23" s="438" t="s">
        <v>16</v>
      </c>
      <c r="B23" s="0" t="s">
        <v>3062</v>
      </c>
      <c r="C23" s="0" t="s">
        <v>3063</v>
      </c>
      <c r="D23" s="0" t="s">
        <v>3062</v>
      </c>
      <c r="E23" s="0" t="s">
        <v>3063</v>
      </c>
      <c r="F23" s="0" t="s">
        <v>3031</v>
      </c>
      <c r="G23" s="0" t="s">
        <v>1564</v>
      </c>
    </row>
    <row customHeight="1" ht="11.25">
      <c r="A24" s="438" t="s">
        <v>16</v>
      </c>
      <c r="B24" s="0" t="s">
        <v>3064</v>
      </c>
      <c r="C24" s="0" t="s">
        <v>3065</v>
      </c>
      <c r="D24" s="0" t="s">
        <v>3064</v>
      </c>
      <c r="E24" s="0" t="s">
        <v>3065</v>
      </c>
      <c r="F24" s="0" t="s">
        <v>3022</v>
      </c>
      <c r="G24" s="0" t="s">
        <v>1572</v>
      </c>
    </row>
    <row customHeight="1" ht="11.25">
      <c r="A25" s="438" t="s">
        <v>16</v>
      </c>
      <c r="B25" s="0" t="s">
        <v>3066</v>
      </c>
      <c r="C25" s="0" t="s">
        <v>3067</v>
      </c>
      <c r="D25" s="0" t="s">
        <v>3066</v>
      </c>
      <c r="E25" s="0" t="s">
        <v>3067</v>
      </c>
      <c r="F25" s="0" t="s">
        <v>3022</v>
      </c>
      <c r="G25" s="0" t="s">
        <v>1579</v>
      </c>
    </row>
    <row customHeight="1" ht="11.25">
      <c r="A26" s="438" t="s">
        <v>16</v>
      </c>
      <c r="B26" s="0" t="s">
        <v>3068</v>
      </c>
      <c r="C26" s="0" t="s">
        <v>3069</v>
      </c>
      <c r="D26" s="0" t="s">
        <v>3068</v>
      </c>
      <c r="E26" s="0" t="s">
        <v>3069</v>
      </c>
      <c r="F26" s="0" t="s">
        <v>3022</v>
      </c>
      <c r="G26" s="0" t="s">
        <v>1583</v>
      </c>
    </row>
    <row customHeight="1" ht="11.25">
      <c r="A27" s="438" t="s">
        <v>16</v>
      </c>
      <c r="B27" s="0" t="s">
        <v>3070</v>
      </c>
      <c r="C27" s="0" t="s">
        <v>3071</v>
      </c>
      <c r="D27" s="0" t="s">
        <v>3070</v>
      </c>
      <c r="E27" s="0" t="s">
        <v>3071</v>
      </c>
      <c r="F27" s="0" t="s">
        <v>3022</v>
      </c>
      <c r="G27" s="0" t="s">
        <v>1588</v>
      </c>
    </row>
    <row customHeight="1" ht="11.25">
      <c r="A28" s="438" t="s">
        <v>16</v>
      </c>
      <c r="B28" s="0" t="s">
        <v>3072</v>
      </c>
      <c r="C28" s="0" t="s">
        <v>3073</v>
      </c>
      <c r="D28" s="0" t="s">
        <v>3072</v>
      </c>
      <c r="E28" s="0" t="s">
        <v>3073</v>
      </c>
      <c r="F28" s="0" t="s">
        <v>3022</v>
      </c>
      <c r="G28" s="0" t="s">
        <v>1596</v>
      </c>
    </row>
    <row customHeight="1" ht="11.25">
      <c r="A29" s="438" t="s">
        <v>16</v>
      </c>
      <c r="B29" s="0" t="s">
        <v>3074</v>
      </c>
      <c r="C29" s="0" t="s">
        <v>3075</v>
      </c>
      <c r="D29" s="0" t="s">
        <v>3074</v>
      </c>
      <c r="E29" s="0" t="s">
        <v>3075</v>
      </c>
      <c r="F29" s="0" t="s">
        <v>3031</v>
      </c>
      <c r="G29" s="0" t="s">
        <v>1598</v>
      </c>
    </row>
    <row customHeight="1" ht="11.25">
      <c r="A30" s="438" t="s">
        <v>16</v>
      </c>
      <c r="B30" s="0" t="s">
        <v>3076</v>
      </c>
      <c r="C30" s="0" t="s">
        <v>3077</v>
      </c>
      <c r="D30" s="0" t="s">
        <v>3076</v>
      </c>
      <c r="E30" s="0" t="s">
        <v>3077</v>
      </c>
      <c r="F30" s="0" t="s">
        <v>3022</v>
      </c>
      <c r="G30" s="0" t="s">
        <v>1601</v>
      </c>
    </row>
    <row customHeight="1" ht="11.25">
      <c r="A31" s="438" t="s">
        <v>16</v>
      </c>
      <c r="B31" s="0" t="s">
        <v>3078</v>
      </c>
      <c r="C31" s="0" t="s">
        <v>3079</v>
      </c>
      <c r="D31" s="0" t="s">
        <v>3078</v>
      </c>
      <c r="E31" s="0" t="s">
        <v>3079</v>
      </c>
      <c r="F31" s="0" t="s">
        <v>3031</v>
      </c>
      <c r="G31" s="0" t="s">
        <v>1606</v>
      </c>
    </row>
    <row customHeight="1" ht="11.25">
      <c r="A32" s="438" t="s">
        <v>16</v>
      </c>
      <c r="B32" s="0" t="s">
        <v>3080</v>
      </c>
      <c r="C32" s="0" t="s">
        <v>3081</v>
      </c>
      <c r="D32" s="0" t="s">
        <v>3080</v>
      </c>
      <c r="E32" s="0" t="s">
        <v>3081</v>
      </c>
      <c r="F32" s="0" t="s">
        <v>3022</v>
      </c>
      <c r="G32" s="0" t="s">
        <v>1608</v>
      </c>
    </row>
    <row customHeight="1" ht="11.25">
      <c r="A33" s="438" t="s">
        <v>16</v>
      </c>
      <c r="B33" s="0" t="s">
        <v>3082</v>
      </c>
      <c r="C33" s="0" t="s">
        <v>3083</v>
      </c>
      <c r="D33" s="0" t="s">
        <v>3082</v>
      </c>
      <c r="E33" s="0" t="s">
        <v>3083</v>
      </c>
      <c r="F33" s="0" t="s">
        <v>3031</v>
      </c>
      <c r="G33" s="0" t="s">
        <v>1610</v>
      </c>
    </row>
    <row customHeight="1" ht="11.25">
      <c r="A34" s="438" t="s">
        <v>16</v>
      </c>
      <c r="B34" s="0" t="s">
        <v>3084</v>
      </c>
      <c r="C34" s="0" t="s">
        <v>3085</v>
      </c>
      <c r="D34" s="0" t="s">
        <v>3084</v>
      </c>
      <c r="E34" s="0" t="s">
        <v>3085</v>
      </c>
      <c r="F34" s="0" t="s">
        <v>3022</v>
      </c>
      <c r="G34" s="0" t="s">
        <v>1612</v>
      </c>
    </row>
    <row customHeight="1" ht="11.25">
      <c r="A35" s="438" t="s">
        <v>16</v>
      </c>
      <c r="B35" s="0" t="s">
        <v>3086</v>
      </c>
      <c r="C35" s="0" t="s">
        <v>3087</v>
      </c>
      <c r="D35" s="0" t="s">
        <v>3086</v>
      </c>
      <c r="E35" s="0" t="s">
        <v>3087</v>
      </c>
      <c r="F35" s="0" t="s">
        <v>3022</v>
      </c>
      <c r="G35" s="0" t="s">
        <v>1617</v>
      </c>
    </row>
    <row customHeight="1" ht="11.25">
      <c r="A36" s="438" t="s">
        <v>16</v>
      </c>
      <c r="B36" s="0" t="s">
        <v>3088</v>
      </c>
      <c r="C36" s="0" t="s">
        <v>3089</v>
      </c>
      <c r="D36" s="0" t="s">
        <v>3088</v>
      </c>
      <c r="E36" s="0" t="s">
        <v>3089</v>
      </c>
      <c r="F36" s="0" t="s">
        <v>3031</v>
      </c>
      <c r="G36" s="0" t="s">
        <v>1622</v>
      </c>
    </row>
    <row customHeight="1" ht="11.25">
      <c r="A37" s="438" t="s">
        <v>16</v>
      </c>
      <c r="B37" s="0" t="s">
        <v>3090</v>
      </c>
      <c r="C37" s="0" t="s">
        <v>3091</v>
      </c>
      <c r="D37" s="0" t="s">
        <v>3090</v>
      </c>
      <c r="E37" s="0" t="s">
        <v>3091</v>
      </c>
      <c r="F37" s="0" t="s">
        <v>3022</v>
      </c>
      <c r="G37" s="0" t="s">
        <v>1626</v>
      </c>
    </row>
    <row customHeight="1" ht="11.25">
      <c r="A38" s="438" t="s">
        <v>16</v>
      </c>
      <c r="B38" s="0" t="s">
        <v>3092</v>
      </c>
      <c r="C38" s="0" t="s">
        <v>3093</v>
      </c>
      <c r="D38" s="0" t="s">
        <v>3092</v>
      </c>
      <c r="E38" s="0" t="s">
        <v>3093</v>
      </c>
      <c r="F38" s="0" t="s">
        <v>3022</v>
      </c>
      <c r="G38" s="0" t="s">
        <v>1634</v>
      </c>
    </row>
    <row customHeight="1" ht="11.25">
      <c r="A39" s="438" t="s">
        <v>16</v>
      </c>
      <c r="B39" s="0" t="s">
        <v>3094</v>
      </c>
      <c r="C39" s="0" t="s">
        <v>3095</v>
      </c>
      <c r="D39" s="0" t="s">
        <v>3094</v>
      </c>
      <c r="E39" s="0" t="s">
        <v>3095</v>
      </c>
      <c r="F39" s="0" t="s">
        <v>3031</v>
      </c>
      <c r="G39" s="0" t="s">
        <v>1640</v>
      </c>
    </row>
    <row customHeight="1" ht="11.25">
      <c r="A40" s="438" t="s">
        <v>16</v>
      </c>
      <c r="B40" s="0" t="s">
        <v>3096</v>
      </c>
      <c r="C40" s="0" t="s">
        <v>3097</v>
      </c>
      <c r="D40" s="0" t="s">
        <v>3096</v>
      </c>
      <c r="E40" s="0" t="s">
        <v>3097</v>
      </c>
      <c r="F40" s="0" t="s">
        <v>3022</v>
      </c>
      <c r="G40" s="0" t="s">
        <v>1645</v>
      </c>
    </row>
    <row customHeight="1" ht="11.25">
      <c r="A41" s="438" t="s">
        <v>16</v>
      </c>
      <c r="B41" s="0" t="s">
        <v>3098</v>
      </c>
      <c r="C41" s="0" t="s">
        <v>3099</v>
      </c>
      <c r="D41" s="0" t="s">
        <v>3098</v>
      </c>
      <c r="E41" s="0" t="s">
        <v>3099</v>
      </c>
      <c r="F41" s="0" t="s">
        <v>3022</v>
      </c>
      <c r="G41" s="0" t="s">
        <v>1649</v>
      </c>
    </row>
    <row customHeight="1" ht="11.25">
      <c r="A42" s="438" t="s">
        <v>16</v>
      </c>
      <c r="B42" s="0" t="s">
        <v>3100</v>
      </c>
      <c r="C42" s="0" t="s">
        <v>3101</v>
      </c>
      <c r="D42" s="0" t="s">
        <v>3100</v>
      </c>
      <c r="E42" s="0" t="s">
        <v>3101</v>
      </c>
      <c r="F42" s="0" t="s">
        <v>3022</v>
      </c>
      <c r="G42" s="0" t="s">
        <v>1652</v>
      </c>
    </row>
    <row customHeight="1" ht="11.25">
      <c r="A43" s="438" t="s">
        <v>16</v>
      </c>
      <c r="B43" s="0" t="s">
        <v>3102</v>
      </c>
      <c r="C43" s="0" t="s">
        <v>3103</v>
      </c>
      <c r="D43" s="0" t="s">
        <v>3102</v>
      </c>
      <c r="E43" s="0" t="s">
        <v>3103</v>
      </c>
      <c r="F43" s="0" t="s">
        <v>3022</v>
      </c>
      <c r="G43" s="0" t="s">
        <v>1659</v>
      </c>
    </row>
    <row customHeight="1" ht="11.25">
      <c r="A44" s="438" t="s">
        <v>16</v>
      </c>
      <c r="B44" s="0" t="s">
        <v>3104</v>
      </c>
      <c r="C44" s="0" t="s">
        <v>3105</v>
      </c>
      <c r="D44" s="0" t="s">
        <v>3104</v>
      </c>
      <c r="E44" s="0" t="s">
        <v>3105</v>
      </c>
      <c r="F44" s="0" t="s">
        <v>3022</v>
      </c>
      <c r="G44" s="0" t="s">
        <v>1668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7C9E5-B4C3-A3DB-9815-391903556E52}"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5658" width="13.8515625" customWidth="1"/>
    <col min="2" max="2" style="5658" width="10.421875" customWidth="1"/>
    <col min="3" max="3" style="5658" width="7.57421875" customWidth="1"/>
    <col min="4" max="4" style="5658" width="13.8515625" customWidth="1"/>
    <col min="5" max="5" style="5658" width="11.57421875" customWidth="1"/>
    <col min="6" max="6" style="5658" width="16.28125" customWidth="1"/>
    <col min="7" max="7" style="5658" width="16.00390625" customWidth="1"/>
    <col min="8" max="9" style="5658" width="16.140625" customWidth="1"/>
  </cols>
  <sheetData>
    <row customHeight="1" ht="11.25">
      <c r="A1" s="900" t="s">
        <v>3106</v>
      </c>
      <c r="B1" s="900" t="s">
        <v>3107</v>
      </c>
      <c r="C1" s="1224" t="s">
        <v>3108</v>
      </c>
      <c r="D1" s="900" t="s">
        <v>3109</v>
      </c>
      <c r="E1" s="900" t="s">
        <v>3110</v>
      </c>
      <c r="F1" s="1224" t="s">
        <v>3111</v>
      </c>
      <c r="G1" s="1224" t="s">
        <v>3112</v>
      </c>
      <c r="H1" s="1224" t="s">
        <v>3113</v>
      </c>
      <c r="I1" s="1224" t="s">
        <v>3114</v>
      </c>
    </row>
    <row customHeight="1" ht="11.25">
      <c r="A2" s="5649" t="s">
        <v>112</v>
      </c>
      <c r="B2" s="5649" t="s">
        <v>3115</v>
      </c>
      <c r="C2" s="5649" t="s">
        <v>28</v>
      </c>
      <c r="D2" s="5649" t="s">
        <v>3116</v>
      </c>
      <c r="E2" s="5649" t="s">
        <v>3117</v>
      </c>
      <c r="F2" s="5649" t="s">
        <v>28</v>
      </c>
      <c r="G2" s="5649" t="s">
        <v>28</v>
      </c>
      <c r="H2" s="5649" t="s">
        <v>28</v>
      </c>
      <c r="I2" s="5649" t="s">
        <v>28</v>
      </c>
    </row>
    <row customHeight="1" ht="11.25">
      <c r="A3" s="5649" t="s">
        <v>113</v>
      </c>
      <c r="B3" s="5649" t="s">
        <v>3118</v>
      </c>
      <c r="C3" s="5649" t="s">
        <v>28</v>
      </c>
      <c r="D3" s="5649" t="s">
        <v>3119</v>
      </c>
      <c r="E3" s="5649" t="s">
        <v>3120</v>
      </c>
      <c r="F3" s="5649" t="s">
        <v>28</v>
      </c>
      <c r="G3" s="5649" t="s">
        <v>28</v>
      </c>
      <c r="H3" s="5649" t="s">
        <v>28</v>
      </c>
      <c r="I3" s="5649" t="s">
        <v>28</v>
      </c>
    </row>
    <row customHeight="1" ht="11.25">
      <c r="A4" s="5649" t="s">
        <v>93</v>
      </c>
      <c r="B4" s="5649" t="s">
        <v>3121</v>
      </c>
      <c r="C4" s="5649" t="s">
        <v>28</v>
      </c>
      <c r="D4" s="5649" t="s">
        <v>3122</v>
      </c>
      <c r="E4" s="5649" t="s">
        <v>3123</v>
      </c>
      <c r="F4" s="5649" t="s">
        <v>28</v>
      </c>
      <c r="G4" s="5649" t="s">
        <v>28</v>
      </c>
      <c r="H4" s="5649" t="s">
        <v>28</v>
      </c>
      <c r="I4" s="5649" t="s">
        <v>28</v>
      </c>
    </row>
    <row customHeight="1" ht="11.25">
      <c r="A5" s="5649" t="s">
        <v>94</v>
      </c>
      <c r="B5" s="5649" t="s">
        <v>3124</v>
      </c>
      <c r="C5" s="5649" t="s">
        <v>28</v>
      </c>
      <c r="D5" s="5649" t="s">
        <v>3125</v>
      </c>
      <c r="E5" s="5649" t="s">
        <v>3120</v>
      </c>
      <c r="F5" s="5649" t="s">
        <v>28</v>
      </c>
      <c r="G5" s="5649" t="s">
        <v>28</v>
      </c>
      <c r="H5" s="5649" t="s">
        <v>28</v>
      </c>
      <c r="I5" s="5649" t="s">
        <v>28</v>
      </c>
    </row>
    <row customHeight="1" ht="11.25">
      <c r="A6" s="5649" t="s">
        <v>114</v>
      </c>
      <c r="B6" s="5649" t="s">
        <v>3126</v>
      </c>
      <c r="C6" s="5649" t="s">
        <v>28</v>
      </c>
      <c r="D6" s="5649" t="s">
        <v>3125</v>
      </c>
      <c r="E6" s="5649" t="s">
        <v>3120</v>
      </c>
      <c r="F6" s="5649" t="s">
        <v>28</v>
      </c>
      <c r="G6" s="5649" t="s">
        <v>28</v>
      </c>
      <c r="H6" s="5649" t="s">
        <v>28</v>
      </c>
      <c r="I6" s="5649" t="s">
        <v>28</v>
      </c>
    </row>
    <row customHeight="1" ht="11.25">
      <c r="A7" s="5649" t="s">
        <v>95</v>
      </c>
      <c r="B7" s="5649" t="s">
        <v>3127</v>
      </c>
      <c r="C7" s="5649" t="s">
        <v>28</v>
      </c>
      <c r="D7" s="5649" t="s">
        <v>3125</v>
      </c>
      <c r="E7" s="5649" t="s">
        <v>3117</v>
      </c>
      <c r="F7" s="5649" t="s">
        <v>28</v>
      </c>
      <c r="G7" s="5649" t="s">
        <v>28</v>
      </c>
      <c r="H7" s="5649" t="s">
        <v>28</v>
      </c>
      <c r="I7" s="564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B4AF4-F2A2-1FE3-A6DB-00188163A3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EB783-B4AB-2CEC-6838-952B71A273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50" width="9.140625"/>
  </cols>
  <sheetData>
    <row customHeight="1" ht="11.25">
      <c r="A1" s="248" t="s">
        <v>133</v>
      </c>
      <c r="B1" s="248" t="s">
        <v>3128</v>
      </c>
    </row>
    <row customHeight="1" ht="11.25">
      <c r="A2" s="127" t="s">
        <v>101</v>
      </c>
      <c r="B2" s="127" t="s">
        <v>3129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BF8B4-C60F-C1DE-925C-BBC1849E3A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58" width="9.140625"/>
    <col min="2" max="2" style="5658" width="65.28125" customWidth="1"/>
  </cols>
  <sheetData>
    <row customHeight="1" ht="11.25">
      <c r="A1" s="900" t="s">
        <v>3130</v>
      </c>
      <c r="B1" s="900" t="s">
        <v>3131</v>
      </c>
    </row>
    <row customHeight="1" ht="11.25">
      <c r="A2" s="900">
        <v>4213775</v>
      </c>
      <c r="B2" s="900" t="s">
        <v>1250</v>
      </c>
    </row>
    <row customHeight="1" ht="11.25">
      <c r="A3" s="900">
        <v>4213784</v>
      </c>
      <c r="B3" s="900" t="s">
        <v>1282</v>
      </c>
    </row>
    <row customHeight="1" ht="11.25">
      <c r="A4" s="900">
        <v>4213781</v>
      </c>
      <c r="B4" s="900" t="s">
        <v>1275</v>
      </c>
    </row>
    <row customHeight="1" ht="11.25">
      <c r="A5" s="900">
        <v>4213776</v>
      </c>
      <c r="B5" s="900" t="s">
        <v>177</v>
      </c>
    </row>
    <row customHeight="1" ht="11.25">
      <c r="A6" s="900">
        <v>4213777</v>
      </c>
      <c r="B6" s="900" t="s">
        <v>185</v>
      </c>
    </row>
    <row customHeight="1" ht="11.25">
      <c r="A7" s="900">
        <v>4213778</v>
      </c>
      <c r="B7" s="900" t="s">
        <v>199</v>
      </c>
    </row>
    <row customHeight="1" ht="11.25">
      <c r="A8" s="900">
        <v>4213780</v>
      </c>
      <c r="B8" s="900" t="s">
        <v>205</v>
      </c>
    </row>
    <row customHeight="1" ht="11.25">
      <c r="A9" s="900">
        <v>4213779</v>
      </c>
      <c r="B9" s="900" t="s">
        <v>1414</v>
      </c>
    </row>
    <row customHeight="1" ht="11.25">
      <c r="A10" s="900">
        <v>4213783</v>
      </c>
      <c r="B10" s="900" t="s">
        <v>1429</v>
      </c>
    </row>
    <row customHeight="1" ht="11.25">
      <c r="A11" s="900">
        <v>4213782</v>
      </c>
      <c r="B11" s="900"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ED52F-3C73-7C51-FDA7-A8E163F1B0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658" width="9.140625"/>
    <col min="2" max="2" style="5658" width="65.28125" customWidth="1"/>
  </cols>
  <sheetData>
    <row customHeight="1" ht="11.25">
      <c r="A1" s="900" t="s">
        <v>3130</v>
      </c>
      <c r="B1" s="900" t="s">
        <v>3132</v>
      </c>
    </row>
    <row customHeight="1" ht="11.25">
      <c r="A2" s="900" t="s">
        <v>3133</v>
      </c>
      <c r="B2" s="900" t="s">
        <v>1527</v>
      </c>
    </row>
    <row customHeight="1" ht="11.25">
      <c r="A3" s="900" t="s">
        <v>3134</v>
      </c>
      <c r="B3" s="900" t="s">
        <v>1536</v>
      </c>
    </row>
    <row customHeight="1" ht="11.25">
      <c r="A4" s="900" t="s">
        <v>3135</v>
      </c>
      <c r="B4" s="900" t="s">
        <v>1545</v>
      </c>
    </row>
    <row customHeight="1" ht="11.25">
      <c r="A5" s="900" t="s">
        <v>3136</v>
      </c>
      <c r="B5" s="900" t="s">
        <v>1554</v>
      </c>
    </row>
    <row customHeight="1" ht="11.25">
      <c r="A6" s="900" t="s">
        <v>3137</v>
      </c>
      <c r="B6" s="900" t="s">
        <v>1560</v>
      </c>
    </row>
    <row customHeight="1" ht="11.25">
      <c r="A7" s="900" t="s">
        <v>3138</v>
      </c>
      <c r="B7" s="900" t="s">
        <v>1568</v>
      </c>
    </row>
    <row customHeight="1" ht="11.25">
      <c r="A8" s="900" t="s">
        <v>3139</v>
      </c>
      <c r="B8" s="900" t="s">
        <v>1575</v>
      </c>
    </row>
    <row customHeight="1" ht="11.25">
      <c r="A9" s="900" t="s">
        <v>3140</v>
      </c>
      <c r="B9" s="900" t="s">
        <v>1581</v>
      </c>
    </row>
    <row customHeight="1" ht="11.25">
      <c r="A10" s="900" t="s">
        <v>3141</v>
      </c>
      <c r="B10" s="900" t="s">
        <v>1585</v>
      </c>
    </row>
    <row customHeight="1" ht="11.25">
      <c r="A11" s="900" t="s">
        <v>3142</v>
      </c>
      <c r="B11" s="900" t="s">
        <v>1592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2F98E-3F1B-A9B3-712B-11E0F9EA78C4}"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38" t="s">
        <v>3013</v>
      </c>
      <c r="B1" s="438" t="s">
        <v>3014</v>
      </c>
      <c r="C1" s="438" t="s">
        <v>3015</v>
      </c>
      <c r="D1" s="438" t="s">
        <v>3016</v>
      </c>
      <c r="E1" s="0" t="s">
        <v>3017</v>
      </c>
      <c r="F1" s="0" t="s">
        <v>3018</v>
      </c>
      <c r="G1" s="0" t="s">
        <v>3019</v>
      </c>
    </row>
    <row customHeight="1" ht="11.25">
      <c r="A2" s="0" t="s">
        <v>16</v>
      </c>
      <c r="B2" s="0" t="s">
        <v>3020</v>
      </c>
      <c r="C2" s="0" t="s">
        <v>3021</v>
      </c>
      <c r="D2" s="0" t="s">
        <v>3020</v>
      </c>
      <c r="E2" s="0" t="s">
        <v>3021</v>
      </c>
      <c r="F2" s="0" t="s">
        <v>3022</v>
      </c>
      <c r="G2" s="0" t="s">
        <v>112</v>
      </c>
    </row>
    <row customHeight="1" ht="11.25">
      <c r="A3" s="0" t="s">
        <v>16</v>
      </c>
      <c r="B3" s="0" t="s">
        <v>3023</v>
      </c>
      <c r="C3" s="0" t="s">
        <v>3024</v>
      </c>
      <c r="D3" s="0" t="s">
        <v>3023</v>
      </c>
      <c r="E3" s="0" t="s">
        <v>3024</v>
      </c>
      <c r="F3" s="0" t="s">
        <v>3022</v>
      </c>
      <c r="G3" s="0" t="s">
        <v>113</v>
      </c>
    </row>
    <row customHeight="1" ht="11.25">
      <c r="A4" s="0" t="s">
        <v>16</v>
      </c>
      <c r="B4" s="0" t="s">
        <v>3025</v>
      </c>
      <c r="C4" s="0" t="s">
        <v>3026</v>
      </c>
      <c r="D4" s="0" t="s">
        <v>3025</v>
      </c>
      <c r="E4" s="0" t="s">
        <v>3026</v>
      </c>
      <c r="F4" s="0" t="s">
        <v>3022</v>
      </c>
      <c r="G4" s="0" t="s">
        <v>93</v>
      </c>
    </row>
    <row customHeight="1" ht="11.25">
      <c r="A5" s="0" t="s">
        <v>16</v>
      </c>
      <c r="B5" s="0" t="s">
        <v>3027</v>
      </c>
      <c r="C5" s="0" t="s">
        <v>3028</v>
      </c>
      <c r="D5" s="0" t="s">
        <v>3027</v>
      </c>
      <c r="E5" s="0" t="s">
        <v>3028</v>
      </c>
      <c r="F5" s="0" t="s">
        <v>3022</v>
      </c>
      <c r="G5" s="0" t="s">
        <v>94</v>
      </c>
    </row>
    <row customHeight="1" ht="11.25">
      <c r="A6" s="0" t="s">
        <v>16</v>
      </c>
      <c r="B6" s="0" t="s">
        <v>3029</v>
      </c>
      <c r="C6" s="0" t="s">
        <v>3030</v>
      </c>
      <c r="D6" s="0" t="s">
        <v>3029</v>
      </c>
      <c r="E6" s="0" t="s">
        <v>3030</v>
      </c>
      <c r="F6" s="0" t="s">
        <v>3031</v>
      </c>
      <c r="G6" s="0" t="s">
        <v>114</v>
      </c>
    </row>
    <row customHeight="1" ht="11.25">
      <c r="A7" s="0" t="s">
        <v>16</v>
      </c>
      <c r="B7" s="0" t="s">
        <v>3032</v>
      </c>
      <c r="C7" s="0" t="s">
        <v>3033</v>
      </c>
      <c r="D7" s="0" t="s">
        <v>3032</v>
      </c>
      <c r="E7" s="0" t="s">
        <v>3033</v>
      </c>
      <c r="F7" s="0" t="s">
        <v>3022</v>
      </c>
      <c r="G7" s="0" t="s">
        <v>95</v>
      </c>
    </row>
    <row customHeight="1" ht="11.25">
      <c r="A8" s="0" t="s">
        <v>16</v>
      </c>
      <c r="B8" s="0" t="s">
        <v>3034</v>
      </c>
      <c r="C8" s="0" t="s">
        <v>3035</v>
      </c>
      <c r="D8" s="0" t="s">
        <v>3034</v>
      </c>
      <c r="E8" s="0" t="s">
        <v>3035</v>
      </c>
      <c r="F8" s="0" t="s">
        <v>3022</v>
      </c>
      <c r="G8" s="0" t="s">
        <v>96</v>
      </c>
    </row>
    <row customHeight="1" ht="11.25">
      <c r="A9" s="0" t="s">
        <v>16</v>
      </c>
      <c r="B9" s="0" t="s">
        <v>3036</v>
      </c>
      <c r="C9" s="0" t="s">
        <v>3037</v>
      </c>
      <c r="D9" s="0" t="s">
        <v>3036</v>
      </c>
      <c r="E9" s="0" t="s">
        <v>3037</v>
      </c>
      <c r="F9" s="0" t="s">
        <v>3031</v>
      </c>
      <c r="G9" s="0" t="s">
        <v>115</v>
      </c>
    </row>
    <row customHeight="1" ht="11.25">
      <c r="A10" s="0" t="s">
        <v>16</v>
      </c>
      <c r="B10" s="0" t="s">
        <v>3038</v>
      </c>
      <c r="C10" s="0" t="s">
        <v>3039</v>
      </c>
      <c r="D10" s="0" t="s">
        <v>3038</v>
      </c>
      <c r="E10" s="0" t="s">
        <v>3039</v>
      </c>
      <c r="F10" s="0" t="s">
        <v>3022</v>
      </c>
      <c r="G10" s="0" t="s">
        <v>151</v>
      </c>
    </row>
    <row customHeight="1" ht="11.25">
      <c r="A11" s="0" t="s">
        <v>16</v>
      </c>
      <c r="B11" s="0" t="s">
        <v>3040</v>
      </c>
      <c r="C11" s="0" t="s">
        <v>3041</v>
      </c>
      <c r="D11" s="0" t="s">
        <v>3040</v>
      </c>
      <c r="E11" s="0" t="s">
        <v>3041</v>
      </c>
      <c r="F11" s="0" t="s">
        <v>3031</v>
      </c>
      <c r="G11" s="0" t="s">
        <v>152</v>
      </c>
    </row>
    <row customHeight="1" ht="11.25">
      <c r="A12" s="0" t="s">
        <v>16</v>
      </c>
      <c r="B12" s="0" t="s">
        <v>3042</v>
      </c>
      <c r="C12" s="0" t="s">
        <v>3043</v>
      </c>
      <c r="D12" s="0" t="s">
        <v>3042</v>
      </c>
      <c r="E12" s="0" t="s">
        <v>3043</v>
      </c>
      <c r="F12" s="0" t="s">
        <v>3031</v>
      </c>
      <c r="G12" s="0" t="s">
        <v>153</v>
      </c>
    </row>
    <row customHeight="1" ht="11.25">
      <c r="A13" s="0" t="s">
        <v>16</v>
      </c>
      <c r="B13" s="0" t="s">
        <v>3044</v>
      </c>
      <c r="C13" s="0" t="s">
        <v>3045</v>
      </c>
      <c r="D13" s="0" t="s">
        <v>3044</v>
      </c>
      <c r="E13" s="0" t="s">
        <v>3045</v>
      </c>
      <c r="F13" s="0" t="s">
        <v>3031</v>
      </c>
      <c r="G13" s="0" t="s">
        <v>154</v>
      </c>
    </row>
    <row customHeight="1" ht="11.25">
      <c r="A14" s="0" t="s">
        <v>16</v>
      </c>
      <c r="B14" s="0" t="s">
        <v>3046</v>
      </c>
      <c r="C14" s="0" t="s">
        <v>3047</v>
      </c>
      <c r="D14" s="0" t="s">
        <v>3046</v>
      </c>
      <c r="E14" s="0" t="s">
        <v>3047</v>
      </c>
      <c r="F14" s="0" t="s">
        <v>3031</v>
      </c>
      <c r="G14" s="0" t="s">
        <v>155</v>
      </c>
    </row>
    <row customHeight="1" ht="11.25">
      <c r="A15" s="0" t="s">
        <v>16</v>
      </c>
      <c r="B15" s="0" t="s">
        <v>3048</v>
      </c>
      <c r="C15" s="0" t="s">
        <v>3049</v>
      </c>
      <c r="D15" s="0" t="s">
        <v>3048</v>
      </c>
      <c r="E15" s="0" t="s">
        <v>3049</v>
      </c>
      <c r="F15" s="0" t="s">
        <v>3031</v>
      </c>
      <c r="G15" s="0" t="s">
        <v>156</v>
      </c>
    </row>
    <row customHeight="1" ht="11.25">
      <c r="A16" s="0" t="s">
        <v>16</v>
      </c>
      <c r="B16" s="0" t="s">
        <v>3050</v>
      </c>
      <c r="C16" s="0" t="s">
        <v>3051</v>
      </c>
      <c r="D16" s="0" t="s">
        <v>3050</v>
      </c>
      <c r="E16" s="0" t="s">
        <v>3051</v>
      </c>
      <c r="F16" s="0" t="s">
        <v>3031</v>
      </c>
      <c r="G16" s="0" t="s">
        <v>1489</v>
      </c>
    </row>
    <row customHeight="1" ht="11.25">
      <c r="A17" s="0" t="s">
        <v>16</v>
      </c>
      <c r="B17" s="0" t="s">
        <v>3052</v>
      </c>
      <c r="C17" s="0" t="s">
        <v>3053</v>
      </c>
      <c r="D17" s="0" t="s">
        <v>3052</v>
      </c>
      <c r="E17" s="0" t="s">
        <v>3053</v>
      </c>
      <c r="F17" s="0" t="s">
        <v>3031</v>
      </c>
      <c r="G17" s="0" t="s">
        <v>1495</v>
      </c>
    </row>
    <row customHeight="1" ht="11.25">
      <c r="A18" s="0" t="s">
        <v>16</v>
      </c>
      <c r="B18" s="0" t="s">
        <v>3054</v>
      </c>
      <c r="C18" s="0" t="s">
        <v>3055</v>
      </c>
      <c r="D18" s="0" t="s">
        <v>3054</v>
      </c>
      <c r="E18" s="0" t="s">
        <v>3055</v>
      </c>
      <c r="F18" s="0" t="s">
        <v>3022</v>
      </c>
      <c r="G18" s="0" t="s">
        <v>1507</v>
      </c>
    </row>
    <row customHeight="1" ht="11.25">
      <c r="A19" s="0" t="s">
        <v>16</v>
      </c>
      <c r="B19" s="0" t="s">
        <v>3056</v>
      </c>
      <c r="C19" s="0" t="s">
        <v>3057</v>
      </c>
      <c r="D19" s="0" t="s">
        <v>3056</v>
      </c>
      <c r="E19" s="0" t="s">
        <v>3057</v>
      </c>
      <c r="F19" s="0" t="s">
        <v>3031</v>
      </c>
      <c r="G19" s="0" t="s">
        <v>1521</v>
      </c>
    </row>
    <row customHeight="1" ht="11.25">
      <c r="A20" s="0" t="s">
        <v>16</v>
      </c>
      <c r="B20" s="0" t="s">
        <v>103</v>
      </c>
      <c r="C20" s="0" t="s">
        <v>104</v>
      </c>
      <c r="D20" s="0" t="s">
        <v>103</v>
      </c>
      <c r="E20" s="0" t="s">
        <v>104</v>
      </c>
      <c r="F20" s="0" t="s">
        <v>3022</v>
      </c>
      <c r="G20" s="0" t="s">
        <v>102</v>
      </c>
    </row>
    <row customHeight="1" ht="11.25">
      <c r="A21" s="0" t="s">
        <v>16</v>
      </c>
      <c r="B21" s="0" t="s">
        <v>3058</v>
      </c>
      <c r="C21" s="0" t="s">
        <v>3059</v>
      </c>
      <c r="D21" s="0" t="s">
        <v>3058</v>
      </c>
      <c r="E21" s="0" t="s">
        <v>3059</v>
      </c>
      <c r="F21" s="0" t="s">
        <v>3031</v>
      </c>
      <c r="G21" s="0" t="s">
        <v>1541</v>
      </c>
    </row>
    <row customHeight="1" ht="11.25">
      <c r="A22" s="0" t="s">
        <v>16</v>
      </c>
      <c r="B22" s="0" t="s">
        <v>3060</v>
      </c>
      <c r="C22" s="0" t="s">
        <v>3061</v>
      </c>
      <c r="D22" s="0" t="s">
        <v>3060</v>
      </c>
      <c r="E22" s="0" t="s">
        <v>3061</v>
      </c>
      <c r="F22" s="0" t="s">
        <v>3022</v>
      </c>
      <c r="G22" s="0" t="s">
        <v>1557</v>
      </c>
    </row>
    <row customHeight="1" ht="11.25">
      <c r="A23" s="0" t="s">
        <v>16</v>
      </c>
      <c r="B23" s="0" t="s">
        <v>3062</v>
      </c>
      <c r="C23" s="0" t="s">
        <v>3063</v>
      </c>
      <c r="D23" s="0" t="s">
        <v>3062</v>
      </c>
      <c r="E23" s="0" t="s">
        <v>3063</v>
      </c>
      <c r="F23" s="0" t="s">
        <v>3031</v>
      </c>
      <c r="G23" s="0" t="s">
        <v>1564</v>
      </c>
    </row>
    <row customHeight="1" ht="11.25">
      <c r="A24" s="0" t="s">
        <v>16</v>
      </c>
      <c r="B24" s="0" t="s">
        <v>3064</v>
      </c>
      <c r="C24" s="0" t="s">
        <v>3065</v>
      </c>
      <c r="D24" s="0" t="s">
        <v>3064</v>
      </c>
      <c r="E24" s="0" t="s">
        <v>3065</v>
      </c>
      <c r="F24" s="0" t="s">
        <v>3022</v>
      </c>
      <c r="G24" s="0" t="s">
        <v>1572</v>
      </c>
    </row>
    <row customHeight="1" ht="11.25">
      <c r="A25" s="0" t="s">
        <v>16</v>
      </c>
      <c r="B25" s="0" t="s">
        <v>3066</v>
      </c>
      <c r="C25" s="0" t="s">
        <v>3067</v>
      </c>
      <c r="D25" s="0" t="s">
        <v>3066</v>
      </c>
      <c r="E25" s="0" t="s">
        <v>3067</v>
      </c>
      <c r="F25" s="0" t="s">
        <v>3022</v>
      </c>
      <c r="G25" s="0" t="s">
        <v>1579</v>
      </c>
    </row>
    <row customHeight="1" ht="11.25">
      <c r="A26" s="0" t="s">
        <v>16</v>
      </c>
      <c r="B26" s="0" t="s">
        <v>3068</v>
      </c>
      <c r="C26" s="0" t="s">
        <v>3069</v>
      </c>
      <c r="D26" s="0" t="s">
        <v>3068</v>
      </c>
      <c r="E26" s="0" t="s">
        <v>3069</v>
      </c>
      <c r="F26" s="0" t="s">
        <v>3022</v>
      </c>
      <c r="G26" s="0" t="s">
        <v>1583</v>
      </c>
    </row>
    <row customHeight="1" ht="11.25">
      <c r="A27" s="0" t="s">
        <v>16</v>
      </c>
      <c r="B27" s="0" t="s">
        <v>3070</v>
      </c>
      <c r="C27" s="0" t="s">
        <v>3071</v>
      </c>
      <c r="D27" s="0" t="s">
        <v>3070</v>
      </c>
      <c r="E27" s="0" t="s">
        <v>3071</v>
      </c>
      <c r="F27" s="0" t="s">
        <v>3022</v>
      </c>
      <c r="G27" s="0" t="s">
        <v>1588</v>
      </c>
    </row>
    <row customHeight="1" ht="11.25">
      <c r="A28" s="0" t="s">
        <v>16</v>
      </c>
      <c r="B28" s="0" t="s">
        <v>3072</v>
      </c>
      <c r="C28" s="0" t="s">
        <v>3073</v>
      </c>
      <c r="D28" s="0" t="s">
        <v>3072</v>
      </c>
      <c r="E28" s="0" t="s">
        <v>3073</v>
      </c>
      <c r="F28" s="0" t="s">
        <v>3022</v>
      </c>
      <c r="G28" s="0" t="s">
        <v>1596</v>
      </c>
    </row>
    <row customHeight="1" ht="11.25">
      <c r="A29" s="0" t="s">
        <v>16</v>
      </c>
      <c r="B29" s="0" t="s">
        <v>3074</v>
      </c>
      <c r="C29" s="0" t="s">
        <v>3075</v>
      </c>
      <c r="D29" s="0" t="s">
        <v>3074</v>
      </c>
      <c r="E29" s="0" t="s">
        <v>3075</v>
      </c>
      <c r="F29" s="0" t="s">
        <v>3031</v>
      </c>
      <c r="G29" s="0" t="s">
        <v>1598</v>
      </c>
    </row>
    <row customHeight="1" ht="11.25">
      <c r="A30" s="0" t="s">
        <v>16</v>
      </c>
      <c r="B30" s="0" t="s">
        <v>3076</v>
      </c>
      <c r="C30" s="0" t="s">
        <v>3077</v>
      </c>
      <c r="D30" s="0" t="s">
        <v>3076</v>
      </c>
      <c r="E30" s="0" t="s">
        <v>3077</v>
      </c>
      <c r="F30" s="0" t="s">
        <v>3022</v>
      </c>
      <c r="G30" s="0" t="s">
        <v>1601</v>
      </c>
    </row>
    <row customHeight="1" ht="11.25">
      <c r="A31" s="0" t="s">
        <v>16</v>
      </c>
      <c r="B31" s="0" t="s">
        <v>3078</v>
      </c>
      <c r="C31" s="0" t="s">
        <v>3079</v>
      </c>
      <c r="D31" s="0" t="s">
        <v>3078</v>
      </c>
      <c r="E31" s="0" t="s">
        <v>3079</v>
      </c>
      <c r="F31" s="0" t="s">
        <v>3031</v>
      </c>
      <c r="G31" s="0" t="s">
        <v>1606</v>
      </c>
    </row>
    <row customHeight="1" ht="11.25">
      <c r="A32" s="0" t="s">
        <v>16</v>
      </c>
      <c r="B32" s="0" t="s">
        <v>3080</v>
      </c>
      <c r="C32" s="0" t="s">
        <v>3081</v>
      </c>
      <c r="D32" s="0" t="s">
        <v>3080</v>
      </c>
      <c r="E32" s="0" t="s">
        <v>3081</v>
      </c>
      <c r="F32" s="0" t="s">
        <v>3022</v>
      </c>
      <c r="G32" s="0" t="s">
        <v>1608</v>
      </c>
    </row>
    <row customHeight="1" ht="11.25">
      <c r="A33" s="0" t="s">
        <v>16</v>
      </c>
      <c r="B33" s="0" t="s">
        <v>3082</v>
      </c>
      <c r="C33" s="0" t="s">
        <v>3083</v>
      </c>
      <c r="D33" s="0" t="s">
        <v>3082</v>
      </c>
      <c r="E33" s="0" t="s">
        <v>3083</v>
      </c>
      <c r="F33" s="0" t="s">
        <v>3031</v>
      </c>
      <c r="G33" s="0" t="s">
        <v>1610</v>
      </c>
    </row>
    <row customHeight="1" ht="11.25">
      <c r="A34" s="0" t="s">
        <v>16</v>
      </c>
      <c r="B34" s="0" t="s">
        <v>3084</v>
      </c>
      <c r="C34" s="0" t="s">
        <v>3085</v>
      </c>
      <c r="D34" s="0" t="s">
        <v>3084</v>
      </c>
      <c r="E34" s="0" t="s">
        <v>3085</v>
      </c>
      <c r="F34" s="0" t="s">
        <v>3022</v>
      </c>
      <c r="G34" s="0" t="s">
        <v>1612</v>
      </c>
    </row>
    <row customHeight="1" ht="11.25">
      <c r="A35" s="0" t="s">
        <v>16</v>
      </c>
      <c r="B35" s="0" t="s">
        <v>3086</v>
      </c>
      <c r="C35" s="0" t="s">
        <v>3087</v>
      </c>
      <c r="D35" s="0" t="s">
        <v>3086</v>
      </c>
      <c r="E35" s="0" t="s">
        <v>3087</v>
      </c>
      <c r="F35" s="0" t="s">
        <v>3022</v>
      </c>
      <c r="G35" s="0" t="s">
        <v>1617</v>
      </c>
    </row>
    <row customHeight="1" ht="11.25">
      <c r="A36" s="0" t="s">
        <v>16</v>
      </c>
      <c r="B36" s="0" t="s">
        <v>3088</v>
      </c>
      <c r="C36" s="0" t="s">
        <v>3089</v>
      </c>
      <c r="D36" s="0" t="s">
        <v>3088</v>
      </c>
      <c r="E36" s="0" t="s">
        <v>3089</v>
      </c>
      <c r="F36" s="0" t="s">
        <v>3031</v>
      </c>
      <c r="G36" s="0" t="s">
        <v>1622</v>
      </c>
    </row>
    <row customHeight="1" ht="11.25">
      <c r="A37" s="0" t="s">
        <v>16</v>
      </c>
      <c r="B37" s="0" t="s">
        <v>3090</v>
      </c>
      <c r="C37" s="0" t="s">
        <v>3091</v>
      </c>
      <c r="D37" s="0" t="s">
        <v>3090</v>
      </c>
      <c r="E37" s="0" t="s">
        <v>3091</v>
      </c>
      <c r="F37" s="0" t="s">
        <v>3022</v>
      </c>
      <c r="G37" s="0" t="s">
        <v>1626</v>
      </c>
    </row>
    <row customHeight="1" ht="11.25">
      <c r="A38" s="0" t="s">
        <v>16</v>
      </c>
      <c r="B38" s="0" t="s">
        <v>3092</v>
      </c>
      <c r="C38" s="0" t="s">
        <v>3093</v>
      </c>
      <c r="D38" s="0" t="s">
        <v>3092</v>
      </c>
      <c r="E38" s="0" t="s">
        <v>3093</v>
      </c>
      <c r="F38" s="0" t="s">
        <v>3022</v>
      </c>
      <c r="G38" s="0" t="s">
        <v>1634</v>
      </c>
    </row>
    <row customHeight="1" ht="11.25">
      <c r="A39" s="0" t="s">
        <v>16</v>
      </c>
      <c r="B39" s="0" t="s">
        <v>3094</v>
      </c>
      <c r="C39" s="0" t="s">
        <v>3095</v>
      </c>
      <c r="D39" s="0" t="s">
        <v>3094</v>
      </c>
      <c r="E39" s="0" t="s">
        <v>3095</v>
      </c>
      <c r="F39" s="0" t="s">
        <v>3031</v>
      </c>
      <c r="G39" s="0" t="s">
        <v>1640</v>
      </c>
    </row>
    <row customHeight="1" ht="11.25">
      <c r="A40" s="0" t="s">
        <v>16</v>
      </c>
      <c r="B40" s="0" t="s">
        <v>3096</v>
      </c>
      <c r="C40" s="0" t="s">
        <v>3097</v>
      </c>
      <c r="D40" s="0" t="s">
        <v>3096</v>
      </c>
      <c r="E40" s="0" t="s">
        <v>3097</v>
      </c>
      <c r="F40" s="0" t="s">
        <v>3022</v>
      </c>
      <c r="G40" s="0" t="s">
        <v>1645</v>
      </c>
    </row>
    <row customHeight="1" ht="11.25">
      <c r="A41" s="0" t="s">
        <v>16</v>
      </c>
      <c r="B41" s="0" t="s">
        <v>3098</v>
      </c>
      <c r="C41" s="0" t="s">
        <v>3099</v>
      </c>
      <c r="D41" s="0" t="s">
        <v>3098</v>
      </c>
      <c r="E41" s="0" t="s">
        <v>3099</v>
      </c>
      <c r="F41" s="0" t="s">
        <v>3022</v>
      </c>
      <c r="G41" s="0" t="s">
        <v>1649</v>
      </c>
    </row>
    <row customHeight="1" ht="11.25">
      <c r="A42" s="0" t="s">
        <v>16</v>
      </c>
      <c r="B42" s="0" t="s">
        <v>3100</v>
      </c>
      <c r="C42" s="0" t="s">
        <v>3101</v>
      </c>
      <c r="D42" s="0" t="s">
        <v>3100</v>
      </c>
      <c r="E42" s="0" t="s">
        <v>3101</v>
      </c>
      <c r="F42" s="0" t="s">
        <v>3022</v>
      </c>
      <c r="G42" s="0" t="s">
        <v>1652</v>
      </c>
    </row>
    <row customHeight="1" ht="11.25">
      <c r="A43" s="0" t="s">
        <v>16</v>
      </c>
      <c r="B43" s="0" t="s">
        <v>3102</v>
      </c>
      <c r="C43" s="0" t="s">
        <v>3103</v>
      </c>
      <c r="D43" s="0" t="s">
        <v>3102</v>
      </c>
      <c r="E43" s="0" t="s">
        <v>3103</v>
      </c>
      <c r="F43" s="0" t="s">
        <v>3022</v>
      </c>
      <c r="G43" s="0" t="s">
        <v>1659</v>
      </c>
    </row>
    <row customHeight="1" ht="11.25">
      <c r="A44" s="0" t="s">
        <v>16</v>
      </c>
      <c r="B44" s="0" t="s">
        <v>3104</v>
      </c>
      <c r="C44" s="0" t="s">
        <v>3105</v>
      </c>
      <c r="D44" s="0" t="s">
        <v>3104</v>
      </c>
      <c r="E44" s="0" t="s">
        <v>3105</v>
      </c>
      <c r="F44" s="0" t="s">
        <v>3022</v>
      </c>
      <c r="G44" s="0" t="s">
        <v>1668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0F528-162A-C585-A6A9-B0286167FF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658" width="9.140625"/>
    <col min="2" max="2" style="5658" width="84.28125" customWidth="1"/>
    <col min="3" max="3" style="5658" width="9.140625"/>
  </cols>
  <sheetData>
    <row customHeight="1" ht="11.25">
      <c r="A1" s="900" t="s">
        <v>3143</v>
      </c>
      <c r="B1" s="900" t="s">
        <v>3144</v>
      </c>
      <c r="C1" s="900" t="s">
        <v>1195</v>
      </c>
    </row>
    <row customHeight="1" ht="11.25">
      <c r="A2" s="900">
        <v>4189678</v>
      </c>
      <c r="B2" s="900" t="s">
        <v>3145</v>
      </c>
      <c r="C2" s="900" t="s">
        <v>3146</v>
      </c>
    </row>
    <row customHeight="1" ht="11.25">
      <c r="A3" s="900">
        <v>4190415</v>
      </c>
      <c r="B3" s="900" t="s">
        <v>3147</v>
      </c>
      <c r="C3" s="900"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8B473-4FEA-7CB4-83A4-725A43EE7D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52" width="38.421875" customWidth="1"/>
    <col min="2" max="5" style="5652" width="9.140625"/>
  </cols>
  <sheetData>
    <row customHeight="1" ht="15">
      <c r="A1" s="228" t="s">
        <v>3148</v>
      </c>
      <c r="B1" s="228" t="s">
        <v>3149</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1D337-2FBF-914F-52F7-34A243E8EB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3150</v>
      </c>
      <c r="B1" s="0" t="b">
        <v>1</v>
      </c>
    </row>
    <row customHeight="1" ht="11.25">
      <c r="A2" s="0" t="s">
        <v>3151</v>
      </c>
      <c r="B2" s="0" t="b">
        <v>0</v>
      </c>
    </row>
    <row customHeight="1" ht="11.25">
      <c r="A3" s="0" t="s">
        <v>3152</v>
      </c>
      <c r="B3" s="0" t="b">
        <v>1</v>
      </c>
    </row>
    <row customHeight="1" ht="11.25">
      <c r="A4" s="0" t="s">
        <v>3153</v>
      </c>
      <c r="B4" s="0" t="b">
        <v>0</v>
      </c>
    </row>
    <row customHeight="1" ht="11.25">
      <c r="A5" s="0" t="s">
        <v>3154</v>
      </c>
      <c r="B5" s="0" t="b">
        <v>0</v>
      </c>
    </row>
    <row customHeight="1" ht="11.25">
      <c r="A6" s="0" t="s">
        <v>3155</v>
      </c>
      <c r="B6" s="0" t="b">
        <v>0</v>
      </c>
    </row>
    <row customHeight="1" ht="11.25">
      <c r="A7" s="0" t="s">
        <v>3156</v>
      </c>
      <c r="B7" s="0" t="b">
        <v>0</v>
      </c>
    </row>
    <row customHeight="1" ht="11.25">
      <c r="A8" s="0" t="s">
        <v>3157</v>
      </c>
      <c r="B8" s="0" t="b">
        <v>0</v>
      </c>
    </row>
    <row customHeight="1" ht="11.25">
      <c r="A9" s="0" t="s">
        <v>3158</v>
      </c>
      <c r="B9" s="0" t="b">
        <v>1</v>
      </c>
    </row>
    <row customHeight="1" ht="11.25">
      <c r="A10" s="0" t="s">
        <v>3159</v>
      </c>
      <c r="B10" s="0" t="b">
        <v>0</v>
      </c>
    </row>
    <row customHeight="1" ht="11.25">
      <c r="A11" s="0" t="s">
        <v>3160</v>
      </c>
      <c r="B11" s="0" t="b">
        <v>0</v>
      </c>
    </row>
    <row customHeight="1" ht="11.25">
      <c r="A12" s="0" t="s">
        <v>3161</v>
      </c>
      <c r="B12" s="0" t="b">
        <v>0</v>
      </c>
    </row>
    <row customHeight="1" ht="11.25">
      <c r="A13" s="0" t="s">
        <v>3162</v>
      </c>
      <c r="B13" s="0" t="b">
        <v>0</v>
      </c>
    </row>
    <row customHeight="1" ht="11.25">
      <c r="A14" s="0" t="s">
        <v>3163</v>
      </c>
      <c r="B14" s="0" t="b">
        <v>0</v>
      </c>
    </row>
    <row customHeight="1" ht="11.25">
      <c r="A15" s="0" t="s">
        <v>3164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2C1CC-6AA5-1B8B-C232-DC3B5C7FE5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53"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5549E-2A12-5478-F662-42C1C276AF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62" width="36.28125" customWidth="1"/>
    <col min="2" max="2" style="5662" width="21.140625" customWidth="1"/>
  </cols>
  <sheetData>
    <row customHeight="1" ht="11.25">
      <c r="A1" s="132" t="s">
        <v>3165</v>
      </c>
      <c r="B1" s="132" t="s">
        <v>3166</v>
      </c>
    </row>
    <row customHeight="1" ht="11.25">
      <c r="A2" s="127" t="s">
        <v>3167</v>
      </c>
      <c r="B2" s="127" t="s">
        <v>3168</v>
      </c>
    </row>
    <row customHeight="1" ht="11.25">
      <c r="A3" s="127" t="s">
        <v>3169</v>
      </c>
      <c r="B3" s="127" t="s">
        <v>3170</v>
      </c>
    </row>
    <row customHeight="1" ht="11.25">
      <c r="A4" s="127" t="s">
        <v>3171</v>
      </c>
      <c r="B4" s="127" t="s">
        <v>3172</v>
      </c>
    </row>
    <row customHeight="1" ht="11.25">
      <c r="A5" s="127" t="s">
        <v>3173</v>
      </c>
      <c r="B5" s="127" t="s">
        <v>3174</v>
      </c>
    </row>
    <row customHeight="1" ht="11.25">
      <c r="A6" s="127" t="s">
        <v>3175</v>
      </c>
      <c r="B6" s="127" t="s">
        <v>3176</v>
      </c>
    </row>
    <row customHeight="1" ht="11.25">
      <c r="A7" s="127" t="s">
        <v>3177</v>
      </c>
      <c r="B7" s="127" t="s">
        <v>3178</v>
      </c>
    </row>
    <row customHeight="1" ht="11.25">
      <c r="A8" s="127" t="s">
        <v>3179</v>
      </c>
      <c r="B8" s="127" t="s">
        <v>3180</v>
      </c>
    </row>
    <row customHeight="1" ht="11.25">
      <c r="A9" s="127" t="s">
        <v>3181</v>
      </c>
      <c r="B9" s="127" t="s">
        <v>3182</v>
      </c>
    </row>
    <row customHeight="1" ht="11.25">
      <c r="A10" s="127" t="s">
        <v>3183</v>
      </c>
      <c r="B10" s="127" t="s">
        <v>3184</v>
      </c>
    </row>
    <row customHeight="1" ht="11.25">
      <c r="A11" s="127" t="s">
        <v>3185</v>
      </c>
      <c r="B11" s="127" t="s">
        <v>3186</v>
      </c>
    </row>
    <row customHeight="1" ht="11.25">
      <c r="A12" s="127" t="s">
        <v>3187</v>
      </c>
      <c r="B12" s="127" t="s">
        <v>3188</v>
      </c>
    </row>
    <row customHeight="1" ht="11.25">
      <c r="A13" s="127" t="s">
        <v>3189</v>
      </c>
      <c r="B13" s="127" t="s">
        <v>3190</v>
      </c>
    </row>
    <row customHeight="1" ht="11.25">
      <c r="A14" s="127" t="s">
        <v>3191</v>
      </c>
      <c r="B14" s="127" t="s">
        <v>3192</v>
      </c>
    </row>
    <row customHeight="1" ht="11.25">
      <c r="A15" s="127" t="s">
        <v>3193</v>
      </c>
      <c r="B15" s="127" t="s">
        <v>3194</v>
      </c>
    </row>
    <row customHeight="1" ht="11.25">
      <c r="A16" s="127" t="s">
        <v>3195</v>
      </c>
      <c r="B16" s="127" t="s">
        <v>3196</v>
      </c>
    </row>
    <row customHeight="1" ht="11.25">
      <c r="A17" s="127" t="s">
        <v>3197</v>
      </c>
      <c r="B17" s="127" t="s">
        <v>3198</v>
      </c>
    </row>
    <row customHeight="1" ht="11.25">
      <c r="A18" s="127" t="s">
        <v>3199</v>
      </c>
      <c r="B18" s="127" t="s">
        <v>3200</v>
      </c>
    </row>
    <row customHeight="1" ht="11.25">
      <c r="A19" s="127" t="s">
        <v>3201</v>
      </c>
      <c r="B19" s="127" t="s">
        <v>3202</v>
      </c>
    </row>
    <row customHeight="1" ht="11.25">
      <c r="A20" s="127" t="s">
        <v>3203</v>
      </c>
      <c r="B20" s="127" t="s">
        <v>3204</v>
      </c>
    </row>
    <row customHeight="1" ht="11.25">
      <c r="A21" s="127" t="s">
        <v>3205</v>
      </c>
      <c r="B21" s="127" t="s">
        <v>3206</v>
      </c>
    </row>
    <row customHeight="1" ht="11.25">
      <c r="A22" s="127" t="s">
        <v>3207</v>
      </c>
      <c r="B22" s="127" t="s">
        <v>3208</v>
      </c>
    </row>
    <row customHeight="1" ht="11.25">
      <c r="A23" s="127" t="s">
        <v>3209</v>
      </c>
      <c r="B23" s="127" t="s">
        <v>3210</v>
      </c>
    </row>
    <row customHeight="1" ht="11.25">
      <c r="A24" s="127" t="s">
        <v>3211</v>
      </c>
      <c r="B24" s="127" t="s">
        <v>3212</v>
      </c>
    </row>
    <row customHeight="1" ht="11.25">
      <c r="A25" s="127" t="s">
        <v>3213</v>
      </c>
      <c r="B25" s="127" t="s">
        <v>3214</v>
      </c>
    </row>
    <row customHeight="1" ht="11.25">
      <c r="A26" s="127" t="s">
        <v>3215</v>
      </c>
      <c r="B26" s="127" t="s">
        <v>3216</v>
      </c>
    </row>
    <row customHeight="1" ht="11.25">
      <c r="A27" s="127" t="s">
        <v>3217</v>
      </c>
      <c r="B27" s="127" t="s">
        <v>3218</v>
      </c>
    </row>
    <row customHeight="1" ht="11.25">
      <c r="A28" s="127" t="s">
        <v>3219</v>
      </c>
      <c r="B28" s="127" t="s">
        <v>3220</v>
      </c>
    </row>
    <row customHeight="1" ht="11.25">
      <c r="A29" s="127" t="s">
        <v>3221</v>
      </c>
      <c r="B29" s="127" t="s">
        <v>3222</v>
      </c>
    </row>
    <row customHeight="1" ht="11.25">
      <c r="A30" s="127" t="s">
        <v>3223</v>
      </c>
      <c r="B30" s="127" t="s">
        <v>3224</v>
      </c>
    </row>
    <row customHeight="1" ht="11.25">
      <c r="A31" s="127" t="s">
        <v>3225</v>
      </c>
      <c r="B31" s="127" t="s">
        <v>3226</v>
      </c>
    </row>
    <row customHeight="1" ht="11.25">
      <c r="A32" s="127" t="s">
        <v>3227</v>
      </c>
      <c r="B32" s="127" t="s">
        <v>3228</v>
      </c>
    </row>
    <row customHeight="1" ht="11.25">
      <c r="A33" s="127" t="s">
        <v>3229</v>
      </c>
      <c r="B33" s="127" t="s">
        <v>3230</v>
      </c>
    </row>
    <row customHeight="1" ht="11.25">
      <c r="A34" s="127" t="s">
        <v>3231</v>
      </c>
      <c r="B34" s="127" t="s">
        <v>3232</v>
      </c>
    </row>
    <row customHeight="1" ht="11.25">
      <c r="A35" s="127" t="s">
        <v>3233</v>
      </c>
      <c r="B35" s="127" t="s">
        <v>3234</v>
      </c>
    </row>
    <row customHeight="1" ht="11.25">
      <c r="A36" s="127" t="s">
        <v>3235</v>
      </c>
      <c r="B36" s="127" t="s">
        <v>3236</v>
      </c>
    </row>
    <row customHeight="1" ht="11.25">
      <c r="A37" s="127" t="s">
        <v>3237</v>
      </c>
      <c r="B37" s="127" t="s">
        <v>3238</v>
      </c>
    </row>
    <row customHeight="1" ht="11.25">
      <c r="A38" s="127" t="s">
        <v>3239</v>
      </c>
      <c r="B38" s="127" t="s">
        <v>3240</v>
      </c>
    </row>
    <row customHeight="1" ht="11.25">
      <c r="A39" s="127" t="s">
        <v>3241</v>
      </c>
      <c r="B39" s="127" t="s">
        <v>3242</v>
      </c>
    </row>
    <row customHeight="1" ht="11.25">
      <c r="A40" s="127" t="s">
        <v>3243</v>
      </c>
      <c r="B40" s="127" t="s">
        <v>3244</v>
      </c>
    </row>
    <row customHeight="1" ht="11.25">
      <c r="A41" s="127" t="s">
        <v>3245</v>
      </c>
      <c r="B41" s="127" t="s">
        <v>3246</v>
      </c>
    </row>
    <row customHeight="1" ht="11.25">
      <c r="A42" s="127" t="s">
        <v>3247</v>
      </c>
      <c r="B42" s="127" t="s">
        <v>3248</v>
      </c>
    </row>
    <row customHeight="1" ht="11.25">
      <c r="A43" s="127" t="s">
        <v>3249</v>
      </c>
      <c r="B43" s="127" t="s">
        <v>3250</v>
      </c>
    </row>
    <row customHeight="1" ht="11.25">
      <c r="A44" s="127" t="s">
        <v>3251</v>
      </c>
      <c r="B44" s="127" t="s">
        <v>3252</v>
      </c>
    </row>
    <row customHeight="1" ht="11.25">
      <c r="A45" s="127" t="s">
        <v>3253</v>
      </c>
      <c r="B45" s="127" t="s">
        <v>3254</v>
      </c>
    </row>
    <row customHeight="1" ht="11.25">
      <c r="A46" s="127" t="s">
        <v>3255</v>
      </c>
      <c r="B46" s="127" t="s">
        <v>3256</v>
      </c>
    </row>
    <row customHeight="1" ht="11.25">
      <c r="A47" s="127" t="s">
        <v>3257</v>
      </c>
      <c r="B47" s="127" t="s">
        <v>3258</v>
      </c>
    </row>
    <row customHeight="1" ht="11.25">
      <c r="A48" s="127" t="s">
        <v>3259</v>
      </c>
      <c r="B48" s="127" t="s">
        <v>3260</v>
      </c>
    </row>
    <row customHeight="1" ht="11.25">
      <c r="A49" s="127" t="s">
        <v>3261</v>
      </c>
      <c r="B49" s="127" t="s">
        <v>3262</v>
      </c>
    </row>
    <row customHeight="1" ht="11.25">
      <c r="A50" s="127" t="s">
        <v>3263</v>
      </c>
      <c r="B50" s="127" t="s">
        <v>3264</v>
      </c>
    </row>
    <row customHeight="1" ht="11.25">
      <c r="A51" s="127" t="s">
        <v>3265</v>
      </c>
      <c r="B51" s="127" t="s">
        <v>3266</v>
      </c>
    </row>
    <row customHeight="1" ht="11.25">
      <c r="A52" s="127" t="s">
        <v>3267</v>
      </c>
      <c r="B52" s="127" t="s">
        <v>3268</v>
      </c>
    </row>
    <row customHeight="1" ht="11.25">
      <c r="A53" s="127" t="s">
        <v>3269</v>
      </c>
      <c r="B53" s="127" t="s">
        <v>3270</v>
      </c>
    </row>
    <row customHeight="1" ht="11.25">
      <c r="A54" s="127" t="s">
        <v>3271</v>
      </c>
      <c r="B54" s="127" t="s">
        <v>3272</v>
      </c>
    </row>
    <row customHeight="1" ht="11.25">
      <c r="A55" s="127" t="s">
        <v>3273</v>
      </c>
      <c r="B55" s="127" t="s">
        <v>3274</v>
      </c>
    </row>
    <row customHeight="1" ht="11.25">
      <c r="A56" s="127" t="s">
        <v>3275</v>
      </c>
      <c r="B56" s="127" t="s">
        <v>3276</v>
      </c>
    </row>
    <row customHeight="1" ht="11.25">
      <c r="A57" s="127" t="s">
        <v>3277</v>
      </c>
      <c r="B57" s="127" t="s">
        <v>3278</v>
      </c>
    </row>
    <row customHeight="1" ht="11.25">
      <c r="A58" s="127" t="s">
        <v>3279</v>
      </c>
      <c r="B58" s="127" t="s">
        <v>3280</v>
      </c>
    </row>
    <row customHeight="1" ht="11.25">
      <c r="A59" s="127" t="s">
        <v>3281</v>
      </c>
      <c r="B59" s="127" t="s">
        <v>3282</v>
      </c>
    </row>
    <row customHeight="1" ht="11.25">
      <c r="A60" s="127" t="s">
        <v>3283</v>
      </c>
      <c r="B60" s="127" t="s">
        <v>3284</v>
      </c>
    </row>
    <row customHeight="1" ht="11.25">
      <c r="A61" s="127"/>
      <c r="B61" s="127" t="s">
        <v>3285</v>
      </c>
    </row>
    <row customHeight="1" ht="11.25">
      <c r="A62" s="127"/>
      <c r="B62" s="127" t="s">
        <v>3286</v>
      </c>
    </row>
    <row customHeight="1" ht="11.25">
      <c r="A63" s="127"/>
      <c r="B63" s="127" t="s">
        <v>3287</v>
      </c>
    </row>
    <row customHeight="1" ht="11.25">
      <c r="A64" s="127"/>
      <c r="B64" s="127" t="s">
        <v>3288</v>
      </c>
    </row>
    <row customHeight="1" ht="11.25">
      <c r="A65" s="127"/>
      <c r="B65" s="127" t="s">
        <v>3289</v>
      </c>
    </row>
    <row customHeight="1" ht="11.25">
      <c r="A66" s="127"/>
      <c r="B66" s="127" t="s">
        <v>3290</v>
      </c>
    </row>
    <row customHeight="1" ht="11.25">
      <c r="A67" s="127"/>
      <c r="B67" s="127" t="s">
        <v>3291</v>
      </c>
    </row>
    <row customHeight="1" ht="11.25">
      <c r="A68" s="127"/>
      <c r="B68" s="127" t="s">
        <v>3292</v>
      </c>
    </row>
    <row customHeight="1" ht="11.25">
      <c r="A69" s="127"/>
      <c r="B69" s="127" t="s">
        <v>3293</v>
      </c>
    </row>
    <row customHeight="1" ht="11.25">
      <c r="A70" s="127"/>
      <c r="B70" s="127" t="s">
        <v>3294</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5F399-729A-C685-81B2-98A306C466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62" width="3.7109375" customWidth="1"/>
    <col min="2" max="2" style="5662" width="90.7109375" customWidth="1"/>
    <col min="3" max="4" style="5662" width="9.140625"/>
  </cols>
  <sheetData>
    <row customHeight="1" ht="11.25">
      <c r="B1" s="158" t="s">
        <v>3295</v>
      </c>
    </row>
    <row customHeight="1" ht="90">
      <c r="B2" s="159" t="s">
        <v>3296</v>
      </c>
    </row>
    <row customHeight="1" ht="67.5">
      <c r="B3" s="159" t="s">
        <v>3297</v>
      </c>
    </row>
    <row customHeight="1" ht="33.75">
      <c r="B4" s="159" t="s">
        <v>3298</v>
      </c>
    </row>
    <row customHeight="1" ht="11.25">
      <c r="B5" s="159" t="s">
        <v>3299</v>
      </c>
    </row>
    <row customHeight="1" ht="22.5">
      <c r="B6" s="159" t="s">
        <v>3300</v>
      </c>
    </row>
    <row customHeight="1" ht="22.5">
      <c r="B7" s="159" t="s">
        <v>3301</v>
      </c>
    </row>
    <row customHeight="1" ht="22.5">
      <c r="B8" s="159" t="s">
        <v>3302</v>
      </c>
    </row>
    <row customHeight="1" ht="22.5">
      <c r="B9" s="159" t="s">
        <v>3303</v>
      </c>
    </row>
    <row customHeight="1" ht="56.25">
      <c r="B10" s="159" t="s">
        <v>3304</v>
      </c>
    </row>
    <row customHeight="1" ht="12.75">
      <c r="B11" s="224" t="s">
        <v>3305</v>
      </c>
    </row>
    <row customHeight="1" ht="11.25">
      <c r="B12" s="158" t="s">
        <v>3306</v>
      </c>
    </row>
    <row customHeight="1" ht="22.5">
      <c r="B13" s="159" t="s">
        <v>3307</v>
      </c>
    </row>
    <row customHeight="1" ht="67.5">
      <c r="B14" s="159" t="s">
        <v>3308</v>
      </c>
    </row>
    <row customHeight="1" ht="22.5">
      <c r="B15" s="159" t="s">
        <v>3309</v>
      </c>
    </row>
    <row customHeight="1" ht="11.25">
      <c r="B16" s="158" t="s">
        <v>3310</v>
      </c>
      <c r="D16" s="165"/>
    </row>
    <row customHeight="1" ht="33.75">
      <c r="B17" s="159" t="s">
        <v>3311</v>
      </c>
    </row>
    <row customHeight="1" ht="33.75">
      <c r="B18" s="159" t="s">
        <v>3312</v>
      </c>
    </row>
    <row customHeight="1" ht="11.25">
      <c r="B19" s="159" t="s">
        <v>3313</v>
      </c>
    </row>
    <row customHeight="1" ht="33.75">
      <c r="B20" s="159" t="s">
        <v>3314</v>
      </c>
    </row>
    <row customHeight="1" ht="11.25">
      <c r="B21" s="158" t="s">
        <v>3315</v>
      </c>
    </row>
    <row customHeight="1" ht="11.25">
      <c r="B22" s="159" t="s">
        <v>3316</v>
      </c>
    </row>
    <row r="24" customHeight="1" ht="22.5">
      <c r="B24" s="226" t="s">
        <v>3317</v>
      </c>
    </row>
    <row r="26" customHeight="1" ht="11.25">
      <c r="B26" s="158" t="s">
        <v>3318</v>
      </c>
    </row>
    <row customHeight="1" ht="22.5">
      <c r="B27" s="225" t="s">
        <v>415</v>
      </c>
    </row>
    <row customHeight="1" ht="56.25">
      <c r="B28" s="225" t="s">
        <v>3319</v>
      </c>
    </row>
    <row customHeight="1" ht="11.25">
      <c r="B29" s="275" t="s">
        <v>3320</v>
      </c>
    </row>
    <row customHeight="1" ht="22.5">
      <c r="B30" s="225" t="s">
        <v>3321</v>
      </c>
    </row>
    <row r="32" customHeight="1" ht="11.25">
      <c r="A32" s="253"/>
      <c r="B32" s="254" t="s">
        <v>3322</v>
      </c>
    </row>
    <row customHeight="1" ht="14.25">
      <c r="A33" s="255">
        <v>1</v>
      </c>
      <c r="B33" s="256" t="s">
        <v>3323</v>
      </c>
    </row>
    <row customHeight="1" ht="14.25">
      <c r="A34" s="255">
        <v>2</v>
      </c>
      <c r="B34" s="256" t="s">
        <v>3324</v>
      </c>
    </row>
    <row customHeight="1" ht="11.25">
      <c r="B35" s="254" t="s">
        <v>3325</v>
      </c>
    </row>
    <row customHeight="1" ht="11.25">
      <c r="B36" s="256" t="s">
        <v>3326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